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drawings/drawing2.xml" ContentType="application/vnd.openxmlformats-officedocument.drawing+xml"/>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drawings/drawing3.xml" ContentType="application/vnd.openxmlformats-officedocument.drawing+xml"/>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G:\My Drive\1. 2022-2024\2. Navax trial\1. Artical\3. RSV &amp; RB\Accept\Navax_pneumonia_R3\"/>
    </mc:Choice>
  </mc:AlternateContent>
  <xr:revisionPtr revIDLastSave="0" documentId="13_ncr:1_{0C939F69-B3C2-4A5A-96AC-C9F541A84F46}" xr6:coauthVersionLast="36" xr6:coauthVersionMax="36" xr10:uidLastSave="{00000000-0000-0000-0000-000000000000}"/>
  <bookViews>
    <workbookView xWindow="-110" yWindow="-110" windowWidth="19420" windowHeight="10420" firstSheet="5" activeTab="8" xr2:uid="{00000000-000D-0000-FFFF-FFFF00000000}"/>
  </bookViews>
  <sheets>
    <sheet name="Table 1" sheetId="38" r:id="rId1"/>
    <sheet name="Table 2 " sheetId="32" r:id="rId2"/>
    <sheet name="Table 3 &amp; Fig. 2" sheetId="52" r:id="rId3"/>
    <sheet name="Fig 2. Clinical analyzed" sheetId="37" r:id="rId4"/>
    <sheet name="Fig 3. RSV &amp; co-bacterial" sheetId="15" r:id="rId5"/>
    <sheet name="Fig 3. RSV &amp; bacterial analyzed" sheetId="36" r:id="rId6"/>
    <sheet name="Fig. 4 Cytokine " sheetId="47" r:id="rId7"/>
    <sheet name="Fig 4. Cytokine analyzed" sheetId="35" r:id="rId8"/>
    <sheet name="Fig. 5 &amp; analyzed" sheetId="51" r:id="rId9"/>
  </sheets>
  <definedNames>
    <definedName name="_xlnm._FilterDatabase" localSheetId="0" hidden="1">'Table 1'!$A$3:$AC$79</definedName>
    <definedName name="_xlnm._FilterDatabase" localSheetId="2" hidden="1">'Table 3 &amp; Fig. 2'!$AD$1:$AD$121</definedName>
    <definedName name="_Hlk103170897" localSheetId="2">'Table 3 &amp; Fig. 2'!#REF!</definedName>
    <definedName name="rstudio_console_output" localSheetId="8">'Fig. 5 &amp; analyzed'!$G$3</definedName>
    <definedName name="rstudio_console_output1" localSheetId="8">'Fig. 5 &amp; analyzed'!#REF!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7" i="51" l="1"/>
  <c r="L32" i="51"/>
  <c r="M32" i="51"/>
  <c r="M26" i="51"/>
  <c r="L26" i="51"/>
  <c r="L23" i="51"/>
  <c r="M23" i="51"/>
  <c r="AK57" i="52"/>
  <c r="AM57" i="52"/>
  <c r="AN57" i="52" l="1"/>
  <c r="AM58" i="52"/>
  <c r="AN58" i="52" s="1"/>
  <c r="AK58" i="52"/>
  <c r="AL58" i="52" s="1"/>
  <c r="AL57" i="52"/>
  <c r="Q72" i="15" l="1"/>
  <c r="D68" i="15"/>
  <c r="H68" i="15"/>
  <c r="V72" i="15"/>
  <c r="U72" i="15"/>
  <c r="R72" i="15"/>
  <c r="I68" i="15"/>
  <c r="E68" i="15"/>
  <c r="F68" i="15"/>
  <c r="F112" i="32" l="1"/>
  <c r="D116" i="32"/>
  <c r="E116" i="32" s="1"/>
  <c r="F116" i="32"/>
  <c r="G116" i="32" s="1"/>
  <c r="F114" i="32"/>
  <c r="G114" i="32" s="1"/>
  <c r="F118" i="32"/>
  <c r="G118" i="32" s="1"/>
  <c r="F117" i="32"/>
  <c r="G117" i="32" s="1"/>
  <c r="F115" i="32"/>
  <c r="G115" i="32" s="1"/>
  <c r="F113" i="32"/>
  <c r="G113" i="32" s="1"/>
  <c r="D118" i="32"/>
  <c r="E118" i="32" s="1"/>
  <c r="D117" i="32"/>
  <c r="E117" i="32" s="1"/>
  <c r="D115" i="32"/>
  <c r="E115" i="32" s="1"/>
  <c r="D114" i="32"/>
  <c r="E114" i="32" s="1"/>
  <c r="D113" i="32"/>
  <c r="E113" i="32" s="1"/>
  <c r="D112" i="32"/>
  <c r="D111" i="32" s="1"/>
  <c r="E111" i="32" s="1"/>
  <c r="F111" i="32" l="1"/>
  <c r="G111" i="32" s="1"/>
  <c r="G112" i="32"/>
  <c r="E112" i="32"/>
  <c r="F99" i="52"/>
  <c r="B100" i="52"/>
  <c r="B99" i="52"/>
  <c r="B85" i="52"/>
  <c r="B84" i="52"/>
  <c r="B70" i="52"/>
  <c r="B69" i="52"/>
  <c r="L70" i="52"/>
  <c r="L69" i="52"/>
  <c r="W56" i="52"/>
  <c r="Z55" i="52"/>
  <c r="W55" i="52" l="1"/>
  <c r="X55" i="52"/>
  <c r="Y55" i="52"/>
  <c r="K108" i="52"/>
  <c r="L108" i="52"/>
  <c r="H99" i="52"/>
  <c r="H100" i="52"/>
  <c r="G100" i="52"/>
  <c r="M100" i="52" s="1"/>
  <c r="G99" i="52"/>
  <c r="M99" i="52" s="1"/>
  <c r="F100" i="52"/>
  <c r="L100" i="52" s="1"/>
  <c r="L99" i="52"/>
  <c r="E100" i="52"/>
  <c r="K100" i="52" s="1"/>
  <c r="E99" i="52"/>
  <c r="K99" i="52" s="1"/>
  <c r="D100" i="52"/>
  <c r="J100" i="52" s="1"/>
  <c r="D99" i="52"/>
  <c r="J99" i="52" s="1"/>
  <c r="G85" i="52"/>
  <c r="M85" i="52" s="1"/>
  <c r="F85" i="52"/>
  <c r="L85" i="52" s="1"/>
  <c r="H84" i="52"/>
  <c r="H85" i="52"/>
  <c r="G84" i="52"/>
  <c r="M84" i="52" s="1"/>
  <c r="F84" i="52"/>
  <c r="L84" i="52" s="1"/>
  <c r="E85" i="52"/>
  <c r="K85" i="52" s="1"/>
  <c r="E84" i="52"/>
  <c r="K84" i="52" s="1"/>
  <c r="D85" i="52"/>
  <c r="J85" i="52" s="1"/>
  <c r="D84" i="52"/>
  <c r="J84" i="52" s="1"/>
  <c r="C100" i="52"/>
  <c r="I100" i="52" s="1"/>
  <c r="C99" i="52"/>
  <c r="I99" i="52" s="1"/>
  <c r="C85" i="52"/>
  <c r="I85" i="52" s="1"/>
  <c r="C84" i="52"/>
  <c r="I84" i="52" s="1"/>
  <c r="B87" i="52"/>
  <c r="P70" i="52"/>
  <c r="Q70" i="52" s="1"/>
  <c r="P69" i="52"/>
  <c r="Q69" i="52" s="1"/>
  <c r="N70" i="52"/>
  <c r="O70" i="52" s="1"/>
  <c r="N69" i="52"/>
  <c r="O69" i="52" s="1"/>
  <c r="F70" i="52"/>
  <c r="G70" i="52" s="1"/>
  <c r="F69" i="52"/>
  <c r="G69" i="52" s="1"/>
  <c r="D70" i="52"/>
  <c r="E70" i="52" s="1"/>
  <c r="D69" i="52"/>
  <c r="E69" i="52" s="1"/>
  <c r="M69" i="52"/>
  <c r="M70" i="52"/>
  <c r="C69" i="52"/>
  <c r="C70" i="52"/>
  <c r="Z56" i="52"/>
  <c r="Y56" i="52"/>
  <c r="X56" i="52" l="1"/>
  <c r="N108" i="52" l="1"/>
  <c r="M108" i="52"/>
  <c r="J108" i="52"/>
  <c r="I108" i="52"/>
  <c r="H108" i="52"/>
  <c r="G108" i="52"/>
  <c r="F108" i="52"/>
  <c r="E108" i="52"/>
  <c r="D108" i="52"/>
  <c r="C108" i="52"/>
  <c r="B108" i="52"/>
  <c r="G102" i="52"/>
  <c r="F102" i="52"/>
  <c r="E102" i="52"/>
  <c r="D102" i="52"/>
  <c r="C102" i="52"/>
  <c r="B102" i="52"/>
  <c r="H102" i="52" s="1"/>
  <c r="G101" i="52"/>
  <c r="F101" i="52"/>
  <c r="E101" i="52"/>
  <c r="D101" i="52"/>
  <c r="C101" i="52"/>
  <c r="B101" i="52"/>
  <c r="H101" i="52" s="1"/>
  <c r="G98" i="52"/>
  <c r="F98" i="52"/>
  <c r="E98" i="52"/>
  <c r="D98" i="52"/>
  <c r="C98" i="52"/>
  <c r="B98" i="52"/>
  <c r="H98" i="52" s="1"/>
  <c r="G97" i="52"/>
  <c r="F97" i="52"/>
  <c r="E97" i="52"/>
  <c r="D97" i="52"/>
  <c r="C97" i="52"/>
  <c r="B97" i="52"/>
  <c r="H97" i="52" s="1"/>
  <c r="G96" i="52"/>
  <c r="F96" i="52"/>
  <c r="E96" i="52"/>
  <c r="D96" i="52"/>
  <c r="C96" i="52"/>
  <c r="B96" i="52"/>
  <c r="H96" i="52" s="1"/>
  <c r="G95" i="52"/>
  <c r="F95" i="52"/>
  <c r="E95" i="52"/>
  <c r="D95" i="52"/>
  <c r="C95" i="52"/>
  <c r="B95" i="52"/>
  <c r="H95" i="52" s="1"/>
  <c r="G94" i="52"/>
  <c r="F94" i="52"/>
  <c r="E94" i="52"/>
  <c r="D94" i="52"/>
  <c r="C94" i="52"/>
  <c r="B94" i="52"/>
  <c r="H94" i="52" s="1"/>
  <c r="G93" i="52"/>
  <c r="F93" i="52"/>
  <c r="E93" i="52"/>
  <c r="D93" i="52"/>
  <c r="C93" i="52"/>
  <c r="B93" i="52"/>
  <c r="H93" i="52" s="1"/>
  <c r="G92" i="52"/>
  <c r="F92" i="52"/>
  <c r="E92" i="52"/>
  <c r="D92" i="52"/>
  <c r="C92" i="52"/>
  <c r="B92" i="52"/>
  <c r="H92" i="52" s="1"/>
  <c r="G91" i="52"/>
  <c r="F91" i="52"/>
  <c r="E91" i="52"/>
  <c r="D91" i="52"/>
  <c r="C91" i="52"/>
  <c r="B91" i="52"/>
  <c r="H91" i="52" s="1"/>
  <c r="G90" i="52"/>
  <c r="F90" i="52"/>
  <c r="E90" i="52"/>
  <c r="D90" i="52"/>
  <c r="C90" i="52"/>
  <c r="B90" i="52"/>
  <c r="H90" i="52" s="1"/>
  <c r="G87" i="52"/>
  <c r="M87" i="52" s="1"/>
  <c r="F87" i="52"/>
  <c r="E87" i="52"/>
  <c r="D87" i="52"/>
  <c r="C87" i="52"/>
  <c r="H87" i="52"/>
  <c r="G86" i="52"/>
  <c r="F86" i="52"/>
  <c r="E86" i="52"/>
  <c r="D86" i="52"/>
  <c r="C86" i="52"/>
  <c r="B86" i="52"/>
  <c r="H86" i="52" s="1"/>
  <c r="G83" i="52"/>
  <c r="F83" i="52"/>
  <c r="E83" i="52"/>
  <c r="D83" i="52"/>
  <c r="C83" i="52"/>
  <c r="B83" i="52"/>
  <c r="G82" i="52"/>
  <c r="F82" i="52"/>
  <c r="E82" i="52"/>
  <c r="D82" i="52"/>
  <c r="C82" i="52"/>
  <c r="B82" i="52"/>
  <c r="H82" i="52" s="1"/>
  <c r="G81" i="52"/>
  <c r="F81" i="52"/>
  <c r="E81" i="52"/>
  <c r="D81" i="52"/>
  <c r="C81" i="52"/>
  <c r="B81" i="52"/>
  <c r="H81" i="52" s="1"/>
  <c r="G80" i="52"/>
  <c r="F80" i="52"/>
  <c r="E80" i="52"/>
  <c r="D80" i="52"/>
  <c r="C80" i="52"/>
  <c r="B80" i="52"/>
  <c r="H80" i="52" s="1"/>
  <c r="G79" i="52"/>
  <c r="F79" i="52"/>
  <c r="E79" i="52"/>
  <c r="D79" i="52"/>
  <c r="C79" i="52"/>
  <c r="B79" i="52"/>
  <c r="H79" i="52" s="1"/>
  <c r="G78" i="52"/>
  <c r="F78" i="52"/>
  <c r="E78" i="52"/>
  <c r="D78" i="52"/>
  <c r="C78" i="52"/>
  <c r="B78" i="52"/>
  <c r="H78" i="52" s="1"/>
  <c r="G77" i="52"/>
  <c r="F77" i="52"/>
  <c r="E77" i="52"/>
  <c r="D77" i="52"/>
  <c r="C77" i="52"/>
  <c r="B77" i="52"/>
  <c r="H77" i="52" s="1"/>
  <c r="G76" i="52"/>
  <c r="F76" i="52"/>
  <c r="E76" i="52"/>
  <c r="D76" i="52"/>
  <c r="C76" i="52"/>
  <c r="B76" i="52"/>
  <c r="H76" i="52" s="1"/>
  <c r="G75" i="52"/>
  <c r="F75" i="52"/>
  <c r="E75" i="52"/>
  <c r="D75" i="52"/>
  <c r="C75" i="52"/>
  <c r="B75" i="52"/>
  <c r="H75" i="52" s="1"/>
  <c r="P71" i="52"/>
  <c r="Q71" i="52" s="1"/>
  <c r="N71" i="52"/>
  <c r="O71" i="52" s="1"/>
  <c r="L71" i="52"/>
  <c r="M71" i="52" s="1"/>
  <c r="F71" i="52"/>
  <c r="G71" i="52" s="1"/>
  <c r="D71" i="52"/>
  <c r="E71" i="52" s="1"/>
  <c r="B71" i="52"/>
  <c r="C71" i="52" s="1"/>
  <c r="P68" i="52"/>
  <c r="Q68" i="52" s="1"/>
  <c r="N68" i="52"/>
  <c r="O68" i="52" s="1"/>
  <c r="L68" i="52"/>
  <c r="M68" i="52" s="1"/>
  <c r="F68" i="52"/>
  <c r="G68" i="52" s="1"/>
  <c r="D68" i="52"/>
  <c r="E68" i="52" s="1"/>
  <c r="B68" i="52"/>
  <c r="C68" i="52" s="1"/>
  <c r="P67" i="52"/>
  <c r="Q67" i="52" s="1"/>
  <c r="N67" i="52"/>
  <c r="O67" i="52" s="1"/>
  <c r="L67" i="52"/>
  <c r="M67" i="52" s="1"/>
  <c r="F67" i="52"/>
  <c r="G67" i="52" s="1"/>
  <c r="D67" i="52"/>
  <c r="E67" i="52" s="1"/>
  <c r="B67" i="52"/>
  <c r="C67" i="52" s="1"/>
  <c r="P66" i="52"/>
  <c r="Q66" i="52" s="1"/>
  <c r="N66" i="52"/>
  <c r="O66" i="52" s="1"/>
  <c r="L66" i="52"/>
  <c r="M66" i="52" s="1"/>
  <c r="F66" i="52"/>
  <c r="G66" i="52" s="1"/>
  <c r="D66" i="52"/>
  <c r="E66" i="52" s="1"/>
  <c r="B66" i="52"/>
  <c r="C66" i="52" s="1"/>
  <c r="P65" i="52"/>
  <c r="Q65" i="52" s="1"/>
  <c r="N65" i="52"/>
  <c r="O65" i="52" s="1"/>
  <c r="L65" i="52"/>
  <c r="M65" i="52" s="1"/>
  <c r="F65" i="52"/>
  <c r="G65" i="52" s="1"/>
  <c r="D65" i="52"/>
  <c r="E65" i="52" s="1"/>
  <c r="B65" i="52"/>
  <c r="C65" i="52" s="1"/>
  <c r="P64" i="52"/>
  <c r="Q64" i="52" s="1"/>
  <c r="N64" i="52"/>
  <c r="O64" i="52" s="1"/>
  <c r="L64" i="52"/>
  <c r="M64" i="52" s="1"/>
  <c r="F64" i="52"/>
  <c r="G64" i="52" s="1"/>
  <c r="D64" i="52"/>
  <c r="E64" i="52" s="1"/>
  <c r="B64" i="52"/>
  <c r="C64" i="52" s="1"/>
  <c r="P63" i="52"/>
  <c r="Q63" i="52" s="1"/>
  <c r="N63" i="52"/>
  <c r="O63" i="52" s="1"/>
  <c r="L63" i="52"/>
  <c r="M63" i="52" s="1"/>
  <c r="F63" i="52"/>
  <c r="G63" i="52" s="1"/>
  <c r="D63" i="52"/>
  <c r="E63" i="52" s="1"/>
  <c r="B63" i="52"/>
  <c r="C63" i="52" s="1"/>
  <c r="P62" i="52"/>
  <c r="Q62" i="52" s="1"/>
  <c r="N62" i="52"/>
  <c r="O62" i="52" s="1"/>
  <c r="L62" i="52"/>
  <c r="M62" i="52" s="1"/>
  <c r="F62" i="52"/>
  <c r="G62" i="52" s="1"/>
  <c r="D62" i="52"/>
  <c r="E62" i="52" s="1"/>
  <c r="B62" i="52"/>
  <c r="C62" i="52" s="1"/>
  <c r="P61" i="52"/>
  <c r="Q61" i="52" s="1"/>
  <c r="N61" i="52"/>
  <c r="O61" i="52" s="1"/>
  <c r="L61" i="52"/>
  <c r="M61" i="52" s="1"/>
  <c r="F61" i="52"/>
  <c r="G61" i="52" s="1"/>
  <c r="D61" i="52"/>
  <c r="E61" i="52" s="1"/>
  <c r="B61" i="52"/>
  <c r="C61" i="52" s="1"/>
  <c r="P60" i="52"/>
  <c r="Q60" i="52" s="1"/>
  <c r="N60" i="52"/>
  <c r="O60" i="52" s="1"/>
  <c r="L60" i="52"/>
  <c r="M60" i="52" s="1"/>
  <c r="F60" i="52"/>
  <c r="G60" i="52" s="1"/>
  <c r="D60" i="52"/>
  <c r="E60" i="52" s="1"/>
  <c r="B60" i="52"/>
  <c r="C60" i="52" s="1"/>
  <c r="AD56" i="52"/>
  <c r="AC56" i="52"/>
  <c r="AB56" i="52"/>
  <c r="AA56" i="52"/>
  <c r="V56" i="52"/>
  <c r="U56" i="52"/>
  <c r="T56" i="52"/>
  <c r="S56" i="52"/>
  <c r="R56" i="52"/>
  <c r="Q56" i="52"/>
  <c r="P56" i="52"/>
  <c r="O56" i="52"/>
  <c r="N56" i="52"/>
  <c r="M56" i="52"/>
  <c r="L56" i="52"/>
  <c r="K56" i="52"/>
  <c r="J56" i="52"/>
  <c r="I56" i="52"/>
  <c r="H56" i="52"/>
  <c r="G56" i="52"/>
  <c r="F56" i="52"/>
  <c r="E56" i="52"/>
  <c r="AD55" i="52"/>
  <c r="AC55" i="52"/>
  <c r="AB55" i="52"/>
  <c r="AA55" i="52"/>
  <c r="V55" i="52"/>
  <c r="U55" i="52"/>
  <c r="T55" i="52"/>
  <c r="S55" i="52"/>
  <c r="R55" i="52"/>
  <c r="Q55" i="52"/>
  <c r="P55" i="52"/>
  <c r="O55" i="52"/>
  <c r="N55" i="52"/>
  <c r="M55" i="52"/>
  <c r="L55" i="52"/>
  <c r="K55" i="52"/>
  <c r="J55" i="52"/>
  <c r="I55" i="52"/>
  <c r="H55" i="52"/>
  <c r="G55" i="52"/>
  <c r="F55" i="52"/>
  <c r="E55" i="52"/>
  <c r="C55" i="52"/>
  <c r="D32" i="52"/>
  <c r="D55" i="52" s="1"/>
  <c r="M77" i="52" l="1"/>
  <c r="M80" i="52"/>
  <c r="M76" i="52"/>
  <c r="M86" i="52"/>
  <c r="M82" i="52"/>
  <c r="M81" i="52"/>
  <c r="M78" i="52"/>
  <c r="J98" i="52"/>
  <c r="K82" i="52"/>
  <c r="I75" i="52"/>
  <c r="M75" i="52"/>
  <c r="M79" i="52"/>
  <c r="M83" i="52"/>
  <c r="M95" i="52"/>
  <c r="I96" i="52"/>
  <c r="I95" i="52"/>
  <c r="I101" i="52"/>
  <c r="L102" i="52"/>
  <c r="I97" i="52"/>
  <c r="K93" i="52"/>
  <c r="L81" i="52"/>
  <c r="J83" i="52"/>
  <c r="I90" i="52"/>
  <c r="I81" i="52"/>
  <c r="L94" i="52"/>
  <c r="L97" i="52"/>
  <c r="J102" i="52"/>
  <c r="I78" i="52"/>
  <c r="K79" i="52"/>
  <c r="L80" i="52"/>
  <c r="K102" i="52"/>
  <c r="K91" i="52"/>
  <c r="L91" i="52"/>
  <c r="J82" i="52"/>
  <c r="I91" i="52"/>
  <c r="J92" i="52"/>
  <c r="J96" i="52"/>
  <c r="K97" i="52"/>
  <c r="I102" i="52"/>
  <c r="K92" i="52"/>
  <c r="K96" i="52"/>
  <c r="I80" i="52"/>
  <c r="I94" i="52"/>
  <c r="M96" i="52"/>
  <c r="I79" i="52"/>
  <c r="J80" i="52"/>
  <c r="K87" i="52"/>
  <c r="K90" i="52"/>
  <c r="L95" i="52"/>
  <c r="I98" i="52"/>
  <c r="M102" i="52"/>
  <c r="K75" i="52"/>
  <c r="K80" i="52"/>
  <c r="L87" i="52"/>
  <c r="L90" i="52"/>
  <c r="K94" i="52"/>
  <c r="J78" i="52"/>
  <c r="L79" i="52"/>
  <c r="I82" i="52"/>
  <c r="I92" i="52"/>
  <c r="M94" i="52"/>
  <c r="I76" i="52"/>
  <c r="I77" i="52"/>
  <c r="L92" i="52"/>
  <c r="L93" i="52"/>
  <c r="K78" i="52"/>
  <c r="M92" i="52"/>
  <c r="M93" i="52"/>
  <c r="K101" i="52"/>
  <c r="K77" i="52"/>
  <c r="L78" i="52"/>
  <c r="M90" i="52"/>
  <c r="M91" i="52"/>
  <c r="K98" i="52"/>
  <c r="L101" i="52"/>
  <c r="K76" i="52"/>
  <c r="L77" i="52"/>
  <c r="L98" i="52"/>
  <c r="M101" i="52"/>
  <c r="L76" i="52"/>
  <c r="M98" i="52"/>
  <c r="L75" i="52"/>
  <c r="J87" i="52"/>
  <c r="I93" i="52"/>
  <c r="J94" i="52"/>
  <c r="K95" i="52"/>
  <c r="L96" i="52"/>
  <c r="M97" i="52"/>
  <c r="I83" i="52"/>
  <c r="L86" i="52"/>
  <c r="K81" i="52"/>
  <c r="J86" i="52"/>
  <c r="I87" i="52"/>
  <c r="J91" i="52"/>
  <c r="K83" i="52"/>
  <c r="J90" i="52"/>
  <c r="J93" i="52"/>
  <c r="J75" i="52"/>
  <c r="L83" i="52"/>
  <c r="J95" i="52"/>
  <c r="J77" i="52"/>
  <c r="J97" i="52"/>
  <c r="J76" i="52"/>
  <c r="J79" i="52"/>
  <c r="H83" i="52"/>
  <c r="I86" i="52"/>
  <c r="J101" i="52"/>
  <c r="J81" i="52"/>
  <c r="L82" i="52"/>
  <c r="K86" i="52"/>
  <c r="D71" i="38" l="1"/>
  <c r="U57" i="47"/>
  <c r="J31" i="15" l="1"/>
  <c r="F121" i="32" l="1"/>
  <c r="D121" i="32"/>
  <c r="D74" i="38"/>
  <c r="F74" i="38" s="1"/>
  <c r="D75" i="38"/>
  <c r="F75" i="38" s="1"/>
  <c r="Y71" i="15" l="1"/>
  <c r="Y72" i="15" s="1"/>
  <c r="X71" i="15"/>
  <c r="U69" i="15"/>
  <c r="U70" i="15" s="1"/>
  <c r="Q69" i="15"/>
  <c r="Q70" i="15" s="1"/>
  <c r="W68" i="15"/>
  <c r="S68" i="15"/>
  <c r="L68" i="15"/>
  <c r="K68" i="15"/>
  <c r="W67" i="15"/>
  <c r="S67" i="15"/>
  <c r="W66" i="15"/>
  <c r="S66" i="15"/>
  <c r="H66" i="15"/>
  <c r="H67" i="15" s="1"/>
  <c r="D66" i="15"/>
  <c r="D67" i="15" s="1"/>
  <c r="W65" i="15"/>
  <c r="S65" i="15"/>
  <c r="J65" i="15"/>
  <c r="F65" i="15"/>
  <c r="S64" i="15"/>
  <c r="J64" i="15"/>
  <c r="F64" i="15"/>
  <c r="W63" i="15"/>
  <c r="S63" i="15"/>
  <c r="J63" i="15"/>
  <c r="F63" i="15"/>
  <c r="W62" i="15"/>
  <c r="S62" i="15"/>
  <c r="J62" i="15"/>
  <c r="W61" i="15"/>
  <c r="S61" i="15"/>
  <c r="J61" i="15"/>
  <c r="F61" i="15"/>
  <c r="W60" i="15"/>
  <c r="S60" i="15"/>
  <c r="J60" i="15"/>
  <c r="W59" i="15"/>
  <c r="S59" i="15"/>
  <c r="J59" i="15"/>
  <c r="F59" i="15"/>
  <c r="W58" i="15"/>
  <c r="S58" i="15"/>
  <c r="J58" i="15"/>
  <c r="F58" i="15"/>
  <c r="W57" i="15"/>
  <c r="J57" i="15"/>
  <c r="F57" i="15"/>
  <c r="W56" i="15"/>
  <c r="S56" i="15"/>
  <c r="J56" i="15"/>
  <c r="F56" i="15"/>
  <c r="W55" i="15"/>
  <c r="S55" i="15"/>
  <c r="J55" i="15"/>
  <c r="W54" i="15"/>
  <c r="S54" i="15"/>
  <c r="J54" i="15"/>
  <c r="W53" i="15"/>
  <c r="S53" i="15"/>
  <c r="J53" i="15"/>
  <c r="F53" i="15"/>
  <c r="W52" i="15"/>
  <c r="S52" i="15"/>
  <c r="J52" i="15"/>
  <c r="W51" i="15"/>
  <c r="S51" i="15"/>
  <c r="J51" i="15"/>
  <c r="F51" i="15"/>
  <c r="W50" i="15"/>
  <c r="J50" i="15"/>
  <c r="F50" i="15"/>
  <c r="W49" i="15"/>
  <c r="S49" i="15"/>
  <c r="J49" i="15"/>
  <c r="F49" i="15"/>
  <c r="W48" i="15"/>
  <c r="J48" i="15"/>
  <c r="F48" i="15"/>
  <c r="W47" i="15"/>
  <c r="S47" i="15"/>
  <c r="J47" i="15"/>
  <c r="F47" i="15"/>
  <c r="W46" i="15"/>
  <c r="S46" i="15"/>
  <c r="J46" i="15"/>
  <c r="W45" i="15"/>
  <c r="J45" i="15"/>
  <c r="F45" i="15"/>
  <c r="W44" i="15"/>
  <c r="S44" i="15"/>
  <c r="J44" i="15"/>
  <c r="W43" i="15"/>
  <c r="S43" i="15"/>
  <c r="J43" i="15"/>
  <c r="F43" i="15"/>
  <c r="W42" i="15"/>
  <c r="J42" i="15"/>
  <c r="W41" i="15"/>
  <c r="S41" i="15"/>
  <c r="F41" i="15"/>
  <c r="W40" i="15"/>
  <c r="J40" i="15"/>
  <c r="F40" i="15"/>
  <c r="W39" i="15"/>
  <c r="S39" i="15"/>
  <c r="J39" i="15"/>
  <c r="F39" i="15"/>
  <c r="W38" i="15"/>
  <c r="S38" i="15"/>
  <c r="J38" i="15"/>
  <c r="F38" i="15"/>
  <c r="W37" i="15"/>
  <c r="S37" i="15"/>
  <c r="J37" i="15"/>
  <c r="F37" i="15"/>
  <c r="W36" i="15"/>
  <c r="S36" i="15"/>
  <c r="J36" i="15"/>
  <c r="F36" i="15"/>
  <c r="W35" i="15"/>
  <c r="S35" i="15"/>
  <c r="J35" i="15"/>
  <c r="F35" i="15"/>
  <c r="W34" i="15"/>
  <c r="S34" i="15"/>
  <c r="J34" i="15"/>
  <c r="F34" i="15"/>
  <c r="W33" i="15"/>
  <c r="S33" i="15"/>
  <c r="J33" i="15"/>
  <c r="F33" i="15"/>
  <c r="W32" i="15"/>
  <c r="S32" i="15"/>
  <c r="J32" i="15"/>
  <c r="F32" i="15"/>
  <c r="W31" i="15"/>
  <c r="S31" i="15"/>
  <c r="F31" i="15"/>
  <c r="W30" i="15"/>
  <c r="J30" i="15"/>
  <c r="W29" i="15"/>
  <c r="S29" i="15"/>
  <c r="J29" i="15"/>
  <c r="F29" i="15"/>
  <c r="W28" i="15"/>
  <c r="S28" i="15"/>
  <c r="J28" i="15"/>
  <c r="W27" i="15"/>
  <c r="W26" i="15"/>
  <c r="S26" i="15"/>
  <c r="J26" i="15"/>
  <c r="F26" i="15"/>
  <c r="W25" i="15"/>
  <c r="S25" i="15"/>
  <c r="J25" i="15"/>
  <c r="F25" i="15"/>
  <c r="W24" i="15"/>
  <c r="S24" i="15"/>
  <c r="J24" i="15"/>
  <c r="F24" i="15"/>
  <c r="W23" i="15"/>
  <c r="S23" i="15"/>
  <c r="J23" i="15"/>
  <c r="F23" i="15"/>
  <c r="W22" i="15"/>
  <c r="S22" i="15"/>
  <c r="J22" i="15"/>
  <c r="F22" i="15"/>
  <c r="W21" i="15"/>
  <c r="J21" i="15"/>
  <c r="F21" i="15"/>
  <c r="W20" i="15"/>
  <c r="S20" i="15"/>
  <c r="J20" i="15"/>
  <c r="F20" i="15"/>
  <c r="W19" i="15"/>
  <c r="S19" i="15"/>
  <c r="J19" i="15"/>
  <c r="F19" i="15"/>
  <c r="W18" i="15"/>
  <c r="J18" i="15"/>
  <c r="F18" i="15"/>
  <c r="W17" i="15"/>
  <c r="S17" i="15"/>
  <c r="J17" i="15"/>
  <c r="F17" i="15"/>
  <c r="W16" i="15"/>
  <c r="S16" i="15"/>
  <c r="J16" i="15"/>
  <c r="W15" i="15"/>
  <c r="J15" i="15"/>
  <c r="F15" i="15"/>
  <c r="W14" i="15"/>
  <c r="S14" i="15"/>
  <c r="J14" i="15"/>
  <c r="F14" i="15"/>
  <c r="W13" i="15"/>
  <c r="J13" i="15"/>
  <c r="F13" i="15"/>
  <c r="W12" i="15"/>
  <c r="S12" i="15"/>
  <c r="J12" i="15"/>
  <c r="F12" i="15"/>
  <c r="W11" i="15"/>
  <c r="S11" i="15"/>
  <c r="J11" i="15"/>
  <c r="F11" i="15"/>
  <c r="W10" i="15"/>
  <c r="S10" i="15"/>
  <c r="J10" i="15"/>
  <c r="F10" i="15"/>
  <c r="W9" i="15"/>
  <c r="S9" i="15"/>
  <c r="J9" i="15"/>
  <c r="F9" i="15"/>
  <c r="W8" i="15"/>
  <c r="S8" i="15"/>
  <c r="J8" i="15"/>
  <c r="F8" i="15"/>
  <c r="W7" i="15"/>
  <c r="S7" i="15"/>
  <c r="J7" i="15"/>
  <c r="F7" i="15"/>
  <c r="W6" i="15"/>
  <c r="J6" i="15"/>
  <c r="F6" i="15"/>
  <c r="W5" i="15"/>
  <c r="S5" i="15"/>
  <c r="J5" i="15"/>
  <c r="F5" i="15"/>
  <c r="AB56" i="47"/>
  <c r="AA56" i="47"/>
  <c r="Y56" i="47"/>
  <c r="X56" i="47"/>
  <c r="S56" i="47"/>
  <c r="R56" i="47"/>
  <c r="M56" i="47"/>
  <c r="L56" i="47"/>
  <c r="J56" i="47"/>
  <c r="I56" i="47"/>
  <c r="D56" i="47"/>
  <c r="C56" i="47"/>
  <c r="AC55" i="47"/>
  <c r="Z55" i="47"/>
  <c r="W55" i="47"/>
  <c r="T55" i="47"/>
  <c r="N54" i="47"/>
  <c r="K54" i="47"/>
  <c r="H54" i="47"/>
  <c r="E54" i="47"/>
  <c r="AC53" i="47"/>
  <c r="W53" i="47"/>
  <c r="N53" i="47"/>
  <c r="K53" i="47"/>
  <c r="H53" i="47"/>
  <c r="AC52" i="47"/>
  <c r="W52" i="47"/>
  <c r="T52" i="47"/>
  <c r="N52" i="47"/>
  <c r="K52" i="47"/>
  <c r="H52" i="47"/>
  <c r="E52" i="47"/>
  <c r="AC51" i="47"/>
  <c r="Z51" i="47"/>
  <c r="W51" i="47"/>
  <c r="T51" i="47"/>
  <c r="N51" i="47"/>
  <c r="K51" i="47"/>
  <c r="H51" i="47"/>
  <c r="E51" i="47"/>
  <c r="AC50" i="47"/>
  <c r="W50" i="47"/>
  <c r="N50" i="47"/>
  <c r="K50" i="47"/>
  <c r="E50" i="47"/>
  <c r="AC49" i="47"/>
  <c r="Z49" i="47"/>
  <c r="W49" i="47"/>
  <c r="T49" i="47"/>
  <c r="N49" i="47"/>
  <c r="H49" i="47"/>
  <c r="AC48" i="47"/>
  <c r="W48" i="47"/>
  <c r="N48" i="47"/>
  <c r="H48" i="47"/>
  <c r="AC47" i="47"/>
  <c r="Z47" i="47"/>
  <c r="W47" i="47"/>
  <c r="T47" i="47"/>
  <c r="N47" i="47"/>
  <c r="H47" i="47"/>
  <c r="AC46" i="47"/>
  <c r="Z46" i="47"/>
  <c r="W46" i="47"/>
  <c r="T46" i="47"/>
  <c r="N46" i="47"/>
  <c r="K46" i="47"/>
  <c r="H46" i="47"/>
  <c r="E46" i="47"/>
  <c r="AC45" i="47"/>
  <c r="Z45" i="47"/>
  <c r="W45" i="47"/>
  <c r="T45" i="47"/>
  <c r="N45" i="47"/>
  <c r="K45" i="47"/>
  <c r="H45" i="47"/>
  <c r="AC44" i="47"/>
  <c r="Z44" i="47"/>
  <c r="W44" i="47"/>
  <c r="T44" i="47"/>
  <c r="N44" i="47"/>
  <c r="K44" i="47"/>
  <c r="H44" i="47"/>
  <c r="E44" i="47"/>
  <c r="AC43" i="47"/>
  <c r="W43" i="47"/>
  <c r="T43" i="47"/>
  <c r="N43" i="47"/>
  <c r="H43" i="47"/>
  <c r="AC42" i="47"/>
  <c r="W42" i="47"/>
  <c r="N42" i="47"/>
  <c r="K42" i="47"/>
  <c r="H42" i="47"/>
  <c r="E42" i="47"/>
  <c r="AC41" i="47"/>
  <c r="Z41" i="47"/>
  <c r="W41" i="47"/>
  <c r="N41" i="47"/>
  <c r="K41" i="47"/>
  <c r="H41" i="47"/>
  <c r="AC40" i="47"/>
  <c r="Z40" i="47"/>
  <c r="V40" i="47"/>
  <c r="V56" i="47" s="1"/>
  <c r="U40" i="47"/>
  <c r="U56" i="47" s="1"/>
  <c r="T40" i="47"/>
  <c r="N40" i="47"/>
  <c r="K40" i="47"/>
  <c r="H40" i="47"/>
  <c r="E40" i="47"/>
  <c r="Z39" i="47"/>
  <c r="W39" i="47"/>
  <c r="T39" i="47"/>
  <c r="N39" i="47"/>
  <c r="K39" i="47"/>
  <c r="H39" i="47"/>
  <c r="E39" i="47"/>
  <c r="AC38" i="47"/>
  <c r="Z38" i="47"/>
  <c r="W38" i="47"/>
  <c r="N38" i="47"/>
  <c r="F38" i="47"/>
  <c r="F56" i="47" s="1"/>
  <c r="AC37" i="47"/>
  <c r="Z37" i="47"/>
  <c r="W37" i="47"/>
  <c r="T37" i="47"/>
  <c r="N37" i="47"/>
  <c r="H37" i="47"/>
  <c r="E37" i="47"/>
  <c r="AC36" i="47"/>
  <c r="W36" i="47"/>
  <c r="T36" i="47"/>
  <c r="N36" i="47"/>
  <c r="K36" i="47"/>
  <c r="H36" i="47"/>
  <c r="E36" i="47"/>
  <c r="AC35" i="47"/>
  <c r="Z35" i="47"/>
  <c r="W35" i="47"/>
  <c r="T35" i="47"/>
  <c r="N35" i="47"/>
  <c r="K35" i="47"/>
  <c r="H35" i="47"/>
  <c r="E35" i="47"/>
  <c r="AC34" i="47"/>
  <c r="Z34" i="47"/>
  <c r="W34" i="47"/>
  <c r="T34" i="47"/>
  <c r="N34" i="47"/>
  <c r="K34" i="47"/>
  <c r="H34" i="47"/>
  <c r="E34" i="47"/>
  <c r="AC33" i="47"/>
  <c r="Z33" i="47"/>
  <c r="W33" i="47"/>
  <c r="T33" i="47"/>
  <c r="N33" i="47"/>
  <c r="K33" i="47"/>
  <c r="G33" i="47"/>
  <c r="H33" i="47" s="1"/>
  <c r="E33" i="47"/>
  <c r="AC32" i="47"/>
  <c r="W32" i="47"/>
  <c r="T32" i="47"/>
  <c r="N32" i="47"/>
  <c r="H32" i="47"/>
  <c r="E32" i="47"/>
  <c r="Z31" i="47"/>
  <c r="W31" i="47"/>
  <c r="T31" i="47"/>
  <c r="N31" i="47"/>
  <c r="H31" i="47"/>
  <c r="AC30" i="47"/>
  <c r="W30" i="47"/>
  <c r="T30" i="47"/>
  <c r="N30" i="47"/>
  <c r="K30" i="47"/>
  <c r="H30" i="47"/>
  <c r="AC29" i="47"/>
  <c r="Z29" i="47"/>
  <c r="W29" i="47"/>
  <c r="T29" i="47"/>
  <c r="N29" i="47"/>
  <c r="K29" i="47"/>
  <c r="H29" i="47"/>
  <c r="E29" i="47"/>
  <c r="AC28" i="47"/>
  <c r="Z28" i="47"/>
  <c r="W28" i="47"/>
  <c r="T28" i="47"/>
  <c r="N28" i="47"/>
  <c r="K28" i="47"/>
  <c r="H28" i="47"/>
  <c r="E28" i="47"/>
  <c r="AC27" i="47"/>
  <c r="Z27" i="47"/>
  <c r="W27" i="47"/>
  <c r="N27" i="47"/>
  <c r="K27" i="47"/>
  <c r="H27" i="47"/>
  <c r="E27" i="47"/>
  <c r="AC26" i="47"/>
  <c r="Z26" i="47"/>
  <c r="W26" i="47"/>
  <c r="N26" i="47"/>
  <c r="K26" i="47"/>
  <c r="H26" i="47"/>
  <c r="E26" i="47"/>
  <c r="AC25" i="47"/>
  <c r="Z25" i="47"/>
  <c r="W25" i="47"/>
  <c r="T25" i="47"/>
  <c r="K25" i="47"/>
  <c r="H25" i="47"/>
  <c r="E25" i="47"/>
  <c r="AC24" i="47"/>
  <c r="Z24" i="47"/>
  <c r="W24" i="47"/>
  <c r="T24" i="47"/>
  <c r="K24" i="47"/>
  <c r="H24" i="47"/>
  <c r="E24" i="47"/>
  <c r="AC23" i="47"/>
  <c r="W23" i="47"/>
  <c r="N23" i="47"/>
  <c r="K23" i="47"/>
  <c r="H23" i="47"/>
  <c r="E23" i="47"/>
  <c r="AC22" i="47"/>
  <c r="Z22" i="47"/>
  <c r="W22" i="47"/>
  <c r="T22" i="47"/>
  <c r="N22" i="47"/>
  <c r="K22" i="47"/>
  <c r="H22" i="47"/>
  <c r="E22" i="47"/>
  <c r="AC21" i="47"/>
  <c r="Z21" i="47"/>
  <c r="W21" i="47"/>
  <c r="T21" i="47"/>
  <c r="N21" i="47"/>
  <c r="K21" i="47"/>
  <c r="H21" i="47"/>
  <c r="E21" i="47"/>
  <c r="AC20" i="47"/>
  <c r="W20" i="47"/>
  <c r="T20" i="47"/>
  <c r="N20" i="47"/>
  <c r="K20" i="47"/>
  <c r="H20" i="47"/>
  <c r="E20" i="47"/>
  <c r="AC19" i="47"/>
  <c r="W19" i="47"/>
  <c r="N19" i="47"/>
  <c r="E19" i="47"/>
  <c r="AC18" i="47"/>
  <c r="Z18" i="47"/>
  <c r="W18" i="47"/>
  <c r="T18" i="47"/>
  <c r="N18" i="47"/>
  <c r="K18" i="47"/>
  <c r="H18" i="47"/>
  <c r="E18" i="47"/>
  <c r="AC17" i="47"/>
  <c r="Z17" i="47"/>
  <c r="W17" i="47"/>
  <c r="T17" i="47"/>
  <c r="N17" i="47"/>
  <c r="K17" i="47"/>
  <c r="H17" i="47"/>
  <c r="E17" i="47"/>
  <c r="AC16" i="47"/>
  <c r="Z16" i="47"/>
  <c r="W16" i="47"/>
  <c r="T16" i="47"/>
  <c r="N16" i="47"/>
  <c r="K16" i="47"/>
  <c r="H16" i="47"/>
  <c r="AC15" i="47"/>
  <c r="W15" i="47"/>
  <c r="N15" i="47"/>
  <c r="H15" i="47"/>
  <c r="E15" i="47"/>
  <c r="AC14" i="47"/>
  <c r="W14" i="47"/>
  <c r="T14" i="47"/>
  <c r="N14" i="47"/>
  <c r="K14" i="47"/>
  <c r="H14" i="47"/>
  <c r="E14" i="47"/>
  <c r="AC13" i="47"/>
  <c r="W13" i="47"/>
  <c r="N13" i="47"/>
  <c r="H13" i="47"/>
  <c r="E13" i="47"/>
  <c r="AC12" i="47"/>
  <c r="W12" i="47"/>
  <c r="AC11" i="47"/>
  <c r="Z11" i="47"/>
  <c r="W11" i="47"/>
  <c r="T11" i="47"/>
  <c r="N11" i="47"/>
  <c r="K11" i="47"/>
  <c r="G11" i="47"/>
  <c r="E11" i="47"/>
  <c r="AC10" i="47"/>
  <c r="W10" i="47"/>
  <c r="T10" i="47"/>
  <c r="N10" i="47"/>
  <c r="H10" i="47"/>
  <c r="E10" i="47"/>
  <c r="AC9" i="47"/>
  <c r="W9" i="47"/>
  <c r="T9" i="47"/>
  <c r="N9" i="47"/>
  <c r="K9" i="47"/>
  <c r="H9" i="47"/>
  <c r="E9" i="47"/>
  <c r="AC8" i="47"/>
  <c r="Z8" i="47"/>
  <c r="W8" i="47"/>
  <c r="T8" i="47"/>
  <c r="N8" i="47"/>
  <c r="H8" i="47"/>
  <c r="AC7" i="47"/>
  <c r="Z7" i="47"/>
  <c r="W7" i="47"/>
  <c r="N7" i="47"/>
  <c r="H7" i="47"/>
  <c r="E7" i="47"/>
  <c r="AC6" i="47"/>
  <c r="W6" i="47"/>
  <c r="T6" i="47"/>
  <c r="N6" i="47"/>
  <c r="K6" i="47"/>
  <c r="H6" i="47"/>
  <c r="E6" i="47"/>
  <c r="AC5" i="47"/>
  <c r="Z5" i="47"/>
  <c r="W5" i="47"/>
  <c r="T5" i="47"/>
  <c r="N5" i="47"/>
  <c r="H5" i="47"/>
  <c r="E5" i="47"/>
  <c r="E121" i="32"/>
  <c r="F124" i="32"/>
  <c r="G124" i="32" s="1"/>
  <c r="D124" i="32"/>
  <c r="E124" i="32" s="1"/>
  <c r="F123" i="32"/>
  <c r="G123" i="32" s="1"/>
  <c r="D123" i="32"/>
  <c r="E123" i="32" s="1"/>
  <c r="F122" i="32"/>
  <c r="G122" i="32" s="1"/>
  <c r="D122" i="32"/>
  <c r="E122" i="32" s="1"/>
  <c r="G121" i="32"/>
  <c r="F120" i="32"/>
  <c r="D120" i="32"/>
  <c r="E120" i="32" s="1"/>
  <c r="F110" i="32"/>
  <c r="G110" i="32" s="1"/>
  <c r="D110" i="32"/>
  <c r="E110" i="32" s="1"/>
  <c r="F109" i="32"/>
  <c r="G109" i="32" s="1"/>
  <c r="D109" i="32"/>
  <c r="E109" i="32" s="1"/>
  <c r="F108" i="32"/>
  <c r="G108" i="32" s="1"/>
  <c r="D108" i="32"/>
  <c r="E108" i="32" s="1"/>
  <c r="G107" i="32"/>
  <c r="F107" i="32"/>
  <c r="D107" i="32"/>
  <c r="E107" i="32" s="1"/>
  <c r="F106" i="32"/>
  <c r="G106" i="32" s="1"/>
  <c r="D106" i="32"/>
  <c r="E106" i="32" s="1"/>
  <c r="F105" i="32"/>
  <c r="G105" i="32" s="1"/>
  <c r="D105" i="32"/>
  <c r="E105" i="32" s="1"/>
  <c r="F104" i="32"/>
  <c r="G104" i="32" s="1"/>
  <c r="D104" i="32"/>
  <c r="E104" i="32" s="1"/>
  <c r="F103" i="32"/>
  <c r="G103" i="32" s="1"/>
  <c r="D103" i="32"/>
  <c r="E103" i="32" s="1"/>
  <c r="F100" i="32"/>
  <c r="G100" i="32" s="1"/>
  <c r="D100" i="32"/>
  <c r="F99" i="32"/>
  <c r="G99" i="32" s="1"/>
  <c r="D99" i="32"/>
  <c r="F96" i="32"/>
  <c r="G96" i="32" s="1"/>
  <c r="D96" i="32"/>
  <c r="E96" i="32" s="1"/>
  <c r="F95" i="32"/>
  <c r="F97" i="32" s="1"/>
  <c r="G97" i="32" s="1"/>
  <c r="D95" i="32"/>
  <c r="D97" i="32" s="1"/>
  <c r="E97" i="32" s="1"/>
  <c r="D93" i="32"/>
  <c r="E93" i="32" s="1"/>
  <c r="D92" i="32"/>
  <c r="E92" i="32" s="1"/>
  <c r="D88" i="32"/>
  <c r="E88" i="32" s="1"/>
  <c r="E87" i="32"/>
  <c r="D87" i="32"/>
  <c r="D86" i="32"/>
  <c r="D84" i="32"/>
  <c r="E84" i="32" s="1"/>
  <c r="D83" i="32"/>
  <c r="E83" i="32" s="1"/>
  <c r="D82" i="32"/>
  <c r="D85" i="32" s="1"/>
  <c r="E85" i="32" s="1"/>
  <c r="G78" i="32"/>
  <c r="F78" i="32"/>
  <c r="D78" i="32"/>
  <c r="E78" i="32" s="1"/>
  <c r="D77" i="32"/>
  <c r="E77" i="32" s="1"/>
  <c r="D76" i="32"/>
  <c r="D74" i="32"/>
  <c r="E74" i="32" s="1"/>
  <c r="F73" i="32"/>
  <c r="G73" i="32" s="1"/>
  <c r="E73" i="32"/>
  <c r="D73" i="32"/>
  <c r="D72" i="32"/>
  <c r="G70" i="32"/>
  <c r="F70" i="32"/>
  <c r="E70" i="32"/>
  <c r="D70" i="32"/>
  <c r="G69" i="32"/>
  <c r="F69" i="32"/>
  <c r="E69" i="32"/>
  <c r="D69" i="32"/>
  <c r="G68" i="32"/>
  <c r="F68" i="32"/>
  <c r="E68" i="32"/>
  <c r="D68" i="32"/>
  <c r="G67" i="32"/>
  <c r="F67" i="32"/>
  <c r="E67" i="32"/>
  <c r="D67" i="32"/>
  <c r="G66" i="32"/>
  <c r="F66" i="32"/>
  <c r="E66" i="32"/>
  <c r="D66" i="32"/>
  <c r="Q33" i="32"/>
  <c r="F92" i="32" s="1"/>
  <c r="G92" i="32" s="1"/>
  <c r="D80" i="38"/>
  <c r="F80" i="38" s="1"/>
  <c r="D79" i="38"/>
  <c r="F79" i="38" s="1"/>
  <c r="D78" i="38"/>
  <c r="D76" i="38" s="1"/>
  <c r="F76" i="38" s="1"/>
  <c r="D77" i="38"/>
  <c r="F77" i="38" s="1"/>
  <c r="D73" i="38"/>
  <c r="F73" i="38" s="1"/>
  <c r="E72" i="38"/>
  <c r="G72" i="38" s="1"/>
  <c r="D72" i="38"/>
  <c r="F72" i="38" s="1"/>
  <c r="E71" i="38"/>
  <c r="G71" i="38" s="1"/>
  <c r="F71" i="38"/>
  <c r="E69" i="38"/>
  <c r="G69" i="38" s="1"/>
  <c r="D69" i="38"/>
  <c r="F69" i="38" s="1"/>
  <c r="E68" i="38"/>
  <c r="G68" i="38" s="1"/>
  <c r="D68" i="38"/>
  <c r="F68" i="38" s="1"/>
  <c r="E67" i="38"/>
  <c r="G67" i="38" s="1"/>
  <c r="D67" i="38"/>
  <c r="F67" i="38" s="1"/>
  <c r="E66" i="38"/>
  <c r="G66" i="38" s="1"/>
  <c r="D66" i="38"/>
  <c r="F66" i="38" s="1"/>
  <c r="E62" i="38"/>
  <c r="G62" i="38" s="1"/>
  <c r="D62" i="38"/>
  <c r="F62" i="38" s="1"/>
  <c r="E61" i="38"/>
  <c r="G61" i="38" s="1"/>
  <c r="D61" i="38"/>
  <c r="F61" i="38" s="1"/>
  <c r="D59" i="38"/>
  <c r="F59" i="38" s="1"/>
  <c r="D58" i="38"/>
  <c r="F58" i="38" s="1"/>
  <c r="S32" i="38"/>
  <c r="D89" i="32" l="1"/>
  <c r="F93" i="32"/>
  <c r="G93" i="32" s="1"/>
  <c r="F87" i="32"/>
  <c r="G87" i="32" s="1"/>
  <c r="G95" i="32"/>
  <c r="D79" i="32"/>
  <c r="D80" i="32" s="1"/>
  <c r="E80" i="32" s="1"/>
  <c r="D102" i="32"/>
  <c r="E102" i="32" s="1"/>
  <c r="D75" i="32"/>
  <c r="E75" i="32" s="1"/>
  <c r="F83" i="32"/>
  <c r="G83" i="32" s="1"/>
  <c r="F72" i="32"/>
  <c r="G72" i="32" s="1"/>
  <c r="F77" i="32"/>
  <c r="G77" i="32" s="1"/>
  <c r="D101" i="32"/>
  <c r="F102" i="32"/>
  <c r="G102" i="32" s="1"/>
  <c r="R57" i="47"/>
  <c r="W40" i="47"/>
  <c r="C57" i="47"/>
  <c r="G56" i="47"/>
  <c r="F57" i="47" s="1"/>
  <c r="H38" i="47"/>
  <c r="L57" i="47"/>
  <c r="H11" i="47"/>
  <c r="AA57" i="47"/>
  <c r="X72" i="15"/>
  <c r="W71" i="15"/>
  <c r="F119" i="32"/>
  <c r="G119" i="32" s="1"/>
  <c r="E101" i="32"/>
  <c r="E99" i="32"/>
  <c r="E100" i="32"/>
  <c r="F101" i="32"/>
  <c r="G120" i="32"/>
  <c r="E72" i="32"/>
  <c r="E76" i="32"/>
  <c r="E82" i="32"/>
  <c r="E86" i="32"/>
  <c r="E95" i="32"/>
  <c r="F74" i="32"/>
  <c r="G74" i="32" s="1"/>
  <c r="F76" i="32"/>
  <c r="F82" i="32"/>
  <c r="F84" i="32"/>
  <c r="G84" i="32" s="1"/>
  <c r="F86" i="32"/>
  <c r="F88" i="32"/>
  <c r="G88" i="32" s="1"/>
  <c r="D119" i="32"/>
  <c r="E119" i="32" s="1"/>
  <c r="E80" i="38"/>
  <c r="G80" i="38" s="1"/>
  <c r="E74" i="38"/>
  <c r="E75" i="38"/>
  <c r="G75" i="38" s="1"/>
  <c r="E78" i="38"/>
  <c r="G78" i="38" s="1"/>
  <c r="F78" i="38"/>
  <c r="E58" i="38"/>
  <c r="G58" i="38" s="1"/>
  <c r="E77" i="38"/>
  <c r="E79" i="38"/>
  <c r="G79" i="38" s="1"/>
  <c r="E59" i="38"/>
  <c r="G59" i="38" s="1"/>
  <c r="J68" i="15"/>
  <c r="W72" i="15" s="1"/>
  <c r="S71" i="15"/>
  <c r="E89" i="32" l="1"/>
  <c r="D90" i="32"/>
  <c r="E90" i="32" s="1"/>
  <c r="E79" i="32"/>
  <c r="S72" i="15"/>
  <c r="G86" i="32"/>
  <c r="F89" i="32"/>
  <c r="G82" i="32"/>
  <c r="F85" i="32"/>
  <c r="G85" i="32" s="1"/>
  <c r="F75" i="32"/>
  <c r="G75" i="32" s="1"/>
  <c r="G76" i="32"/>
  <c r="F79" i="32"/>
  <c r="G74" i="38"/>
  <c r="E73" i="38"/>
  <c r="G73" i="38" s="1"/>
  <c r="G77" i="38"/>
  <c r="E76" i="38"/>
  <c r="G76" i="38" s="1"/>
  <c r="G89" i="32" l="1"/>
  <c r="F90" i="32"/>
  <c r="G90" i="32" s="1"/>
  <c r="G79" i="32"/>
  <c r="F80" i="32"/>
  <c r="G80" i="32" s="1"/>
  <c r="G101" i="32"/>
</calcChain>
</file>

<file path=xl/sharedStrings.xml><?xml version="1.0" encoding="utf-8"?>
<sst xmlns="http://schemas.openxmlformats.org/spreadsheetml/2006/main" count="4400" uniqueCount="821">
  <si>
    <t>Navax</t>
  </si>
  <si>
    <t>CRP</t>
  </si>
  <si>
    <t>Control</t>
  </si>
  <si>
    <t>Day 0</t>
  </si>
  <si>
    <t>Day 3</t>
  </si>
  <si>
    <t>SP</t>
  </si>
  <si>
    <t>HI</t>
  </si>
  <si>
    <t>Median</t>
  </si>
  <si>
    <t>HI + SP</t>
  </si>
  <si>
    <t>No.</t>
  </si>
  <si>
    <t>Full name</t>
  </si>
  <si>
    <t>WB</t>
  </si>
  <si>
    <t>PCR bacteria co-infection</t>
  </si>
  <si>
    <t>Characteristic</t>
  </si>
  <si>
    <t>Total</t>
  </si>
  <si>
    <t>Bacteria co-infection</t>
  </si>
  <si>
    <t xml:space="preserve">WB  </t>
  </si>
  <si>
    <t>Gender</t>
  </si>
  <si>
    <t>Male</t>
  </si>
  <si>
    <t>Female</t>
  </si>
  <si>
    <t>% (day0)</t>
  </si>
  <si>
    <t>n (day 0)</t>
  </si>
  <si>
    <t>Sumary of results</t>
  </si>
  <si>
    <t>Dry rales</t>
  </si>
  <si>
    <t>Moist rales</t>
  </si>
  <si>
    <t>No</t>
  </si>
  <si>
    <t xml:space="preserve">Dry rales </t>
  </si>
  <si>
    <t xml:space="preserve">Moist rales </t>
  </si>
  <si>
    <t>Clinical index</t>
  </si>
  <si>
    <t>Navax group</t>
  </si>
  <si>
    <t>Control group</t>
  </si>
  <si>
    <t>Min</t>
  </si>
  <si>
    <t>Max</t>
  </si>
  <si>
    <t>Day 1</t>
  </si>
  <si>
    <t>Day 2</t>
  </si>
  <si>
    <t>Day 4</t>
  </si>
  <si>
    <t>Day 5</t>
  </si>
  <si>
    <t>% (day1)</t>
  </si>
  <si>
    <t>% (day2)</t>
  </si>
  <si>
    <t>% (day4)</t>
  </si>
  <si>
    <t>% (day3)</t>
  </si>
  <si>
    <t>% (day5)</t>
  </si>
  <si>
    <t>Full name - Navax</t>
  </si>
  <si>
    <t>Hematology &amp; Biochemistry</t>
  </si>
  <si>
    <t>Fever</t>
  </si>
  <si>
    <t>n (day 5)</t>
  </si>
  <si>
    <t>% (day 5)</t>
  </si>
  <si>
    <t>Age</t>
  </si>
  <si>
    <t>Navax (n. %)</t>
  </si>
  <si>
    <t>Control (n. %)</t>
  </si>
  <si>
    <t>Code</t>
  </si>
  <si>
    <t>Effective</t>
  </si>
  <si>
    <t>Negative</t>
  </si>
  <si>
    <t>36.3</t>
  </si>
  <si>
    <t>Culture bateria day 0</t>
  </si>
  <si>
    <t>Species</t>
  </si>
  <si>
    <t>Note</t>
  </si>
  <si>
    <t>PLT</t>
  </si>
  <si>
    <t>Days of sickness before treatment</t>
  </si>
  <si>
    <t>Count</t>
  </si>
  <si>
    <t>Note: The number of measurable samples for IL-6, IL-8 and TNF-α levels was lower than number of collected patients, both in Control and Navax groups was due to (i) lack of sample volume left over from failed and repeated performance in ELISA and real-time PCR assays that occurred at random in each sample; (ii) measured values at day 0 were found below the detection range.</t>
  </si>
  <si>
    <t>vs.</t>
  </si>
  <si>
    <t>Minimum</t>
  </si>
  <si>
    <t>&lt;0.0001</t>
  </si>
  <si>
    <t>***</t>
  </si>
  <si>
    <t>****</t>
  </si>
  <si>
    <t>Maximum</t>
  </si>
  <si>
    <t>Exact</t>
  </si>
  <si>
    <t>Range</t>
  </si>
  <si>
    <t>*</t>
  </si>
  <si>
    <t>ns</t>
  </si>
  <si>
    <t>Yes</t>
  </si>
  <si>
    <t>Two-tailed</t>
  </si>
  <si>
    <t>Mean</t>
  </si>
  <si>
    <t>**</t>
  </si>
  <si>
    <t>97.73%</t>
  </si>
  <si>
    <t>Full name - Control</t>
  </si>
  <si>
    <t>IL-6 analyzed</t>
  </si>
  <si>
    <t>Fold Navax/Control</t>
  </si>
  <si>
    <t>97.12%</t>
  </si>
  <si>
    <t>IL-8 analyzed</t>
  </si>
  <si>
    <r>
      <t>TNF-</t>
    </r>
    <r>
      <rPr>
        <b/>
        <sz val="14"/>
        <color rgb="FFC00000"/>
        <rFont val="Calibri"/>
        <family val="2"/>
      </rPr>
      <t>α</t>
    </r>
    <r>
      <rPr>
        <b/>
        <sz val="14"/>
        <color rgb="FFC00000"/>
        <rFont val="Arial"/>
        <family val="2"/>
      </rPr>
      <t xml:space="preserve"> analyzed</t>
    </r>
  </si>
  <si>
    <t>97.07%</t>
  </si>
  <si>
    <t>95.64%</t>
  </si>
  <si>
    <t>IL-6</t>
  </si>
  <si>
    <t>IgA analyzed</t>
  </si>
  <si>
    <t>Wheezy</t>
  </si>
  <si>
    <t>Cough</t>
  </si>
  <si>
    <t>Diarrhea</t>
  </si>
  <si>
    <t>Vomit</t>
  </si>
  <si>
    <t>Days on oxygen</t>
  </si>
  <si>
    <t>Total treatment days</t>
  </si>
  <si>
    <t>n (day 3)</t>
  </si>
  <si>
    <t>% (day 3)</t>
  </si>
  <si>
    <t>H02</t>
  </si>
  <si>
    <t>18.06</t>
  </si>
  <si>
    <t>26.01</t>
  </si>
  <si>
    <t>34.94</t>
  </si>
  <si>
    <t>H14</t>
  </si>
  <si>
    <t>21.57</t>
  </si>
  <si>
    <t>22.15</t>
  </si>
  <si>
    <t>31.36</t>
  </si>
  <si>
    <t>H26</t>
  </si>
  <si>
    <t>30.54</t>
  </si>
  <si>
    <t>34.29</t>
  </si>
  <si>
    <t>H36</t>
  </si>
  <si>
    <t>20.46</t>
  </si>
  <si>
    <t>28.18</t>
  </si>
  <si>
    <t>H37</t>
  </si>
  <si>
    <t>H38</t>
  </si>
  <si>
    <t>21.14</t>
  </si>
  <si>
    <t>32.3</t>
  </si>
  <si>
    <t>38.5</t>
  </si>
  <si>
    <t>H41</t>
  </si>
  <si>
    <t>19.42</t>
  </si>
  <si>
    <t>34.56</t>
  </si>
  <si>
    <t>33.4</t>
  </si>
  <si>
    <t>H42</t>
  </si>
  <si>
    <t>33.94</t>
  </si>
  <si>
    <t>H57</t>
  </si>
  <si>
    <t>22.53</t>
  </si>
  <si>
    <t>18.11</t>
  </si>
  <si>
    <t>30.7</t>
  </si>
  <si>
    <t>H63</t>
  </si>
  <si>
    <t>26.73</t>
  </si>
  <si>
    <t>32.13</t>
  </si>
  <si>
    <t>H79</t>
  </si>
  <si>
    <t>22.76</t>
  </si>
  <si>
    <t>31.11</t>
  </si>
  <si>
    <t>34.2</t>
  </si>
  <si>
    <t>H93</t>
  </si>
  <si>
    <t>24.15</t>
  </si>
  <si>
    <t>H97</t>
  </si>
  <si>
    <t>20.89</t>
  </si>
  <si>
    <t>34.27</t>
  </si>
  <si>
    <t>H101</t>
  </si>
  <si>
    <t>32.55</t>
  </si>
  <si>
    <t>32.83</t>
  </si>
  <si>
    <t>H106</t>
  </si>
  <si>
    <t>26.89</t>
  </si>
  <si>
    <t>35.9</t>
  </si>
  <si>
    <t>H108</t>
  </si>
  <si>
    <t>26.1</t>
  </si>
  <si>
    <t>29.23</t>
  </si>
  <si>
    <t>H116</t>
  </si>
  <si>
    <t>H118</t>
  </si>
  <si>
    <t>H132</t>
  </si>
  <si>
    <t>H133</t>
  </si>
  <si>
    <t>H134</t>
  </si>
  <si>
    <t>H147</t>
  </si>
  <si>
    <t>H160</t>
  </si>
  <si>
    <t>H164</t>
  </si>
  <si>
    <t>H166</t>
  </si>
  <si>
    <t>H168</t>
  </si>
  <si>
    <t>H175</t>
  </si>
  <si>
    <t>H178</t>
  </si>
  <si>
    <t>H179</t>
  </si>
  <si>
    <t>H181</t>
  </si>
  <si>
    <t>H186</t>
  </si>
  <si>
    <t>MP</t>
  </si>
  <si>
    <t>H189</t>
  </si>
  <si>
    <t>H191</t>
  </si>
  <si>
    <t>H196</t>
  </si>
  <si>
    <t>H198</t>
  </si>
  <si>
    <t>H202</t>
  </si>
  <si>
    <t>H217</t>
  </si>
  <si>
    <t>H222</t>
  </si>
  <si>
    <t>H223</t>
  </si>
  <si>
    <t>H162</t>
  </si>
  <si>
    <t>H225</t>
  </si>
  <si>
    <t>H227</t>
  </si>
  <si>
    <t>H235</t>
  </si>
  <si>
    <t>H239</t>
  </si>
  <si>
    <t>H69</t>
  </si>
  <si>
    <t>30.44</t>
  </si>
  <si>
    <t>H188</t>
  </si>
  <si>
    <t>H248</t>
  </si>
  <si>
    <t>H264</t>
  </si>
  <si>
    <t>H273</t>
  </si>
  <si>
    <t>H261</t>
  </si>
  <si>
    <t>RB</t>
  </si>
  <si>
    <t>Ct</t>
  </si>
  <si>
    <t>Name</t>
  </si>
  <si>
    <t>RSV (Ct)</t>
  </si>
  <si>
    <r>
      <t>Reducing folds bacterial co-infection (2</t>
    </r>
    <r>
      <rPr>
        <b/>
        <vertAlign val="superscript"/>
        <sz val="12"/>
        <color theme="1"/>
        <rFont val="Arial"/>
        <family val="2"/>
      </rPr>
      <t>ΔCt</t>
    </r>
    <r>
      <rPr>
        <b/>
        <sz val="12"/>
        <color theme="1"/>
        <rFont val="Arial"/>
        <family val="2"/>
      </rPr>
      <t>)</t>
    </r>
  </si>
  <si>
    <t>RSV and bacteria co-infection test</t>
  </si>
  <si>
    <r>
      <t>Reducing folds RSV (2</t>
    </r>
    <r>
      <rPr>
        <b/>
        <vertAlign val="superscript"/>
        <sz val="12"/>
        <color theme="1"/>
        <rFont val="Arial"/>
        <family val="2"/>
      </rPr>
      <t>ΔCt</t>
    </r>
    <r>
      <rPr>
        <b/>
        <sz val="12"/>
        <color theme="1"/>
        <rFont val="Arial"/>
        <family val="2"/>
      </rPr>
      <t>)</t>
    </r>
  </si>
  <si>
    <t>H05</t>
  </si>
  <si>
    <t>H06</t>
  </si>
  <si>
    <t>H08</t>
  </si>
  <si>
    <t>H11</t>
  </si>
  <si>
    <t>H15</t>
  </si>
  <si>
    <t>H16</t>
  </si>
  <si>
    <t>H28</t>
  </si>
  <si>
    <t>H33</t>
  </si>
  <si>
    <t>H50</t>
  </si>
  <si>
    <t>H56</t>
  </si>
  <si>
    <t>H59</t>
  </si>
  <si>
    <t>H62</t>
  </si>
  <si>
    <t>H86</t>
  </si>
  <si>
    <t>H90</t>
  </si>
  <si>
    <t>H98</t>
  </si>
  <si>
    <t>H100</t>
  </si>
  <si>
    <t>H107</t>
  </si>
  <si>
    <t>H112</t>
  </si>
  <si>
    <t>H113</t>
  </si>
  <si>
    <t>H115</t>
  </si>
  <si>
    <t>H119</t>
  </si>
  <si>
    <t>H123</t>
  </si>
  <si>
    <t>H124</t>
  </si>
  <si>
    <t>H126</t>
  </si>
  <si>
    <t>H130</t>
  </si>
  <si>
    <t>H137</t>
  </si>
  <si>
    <t>H142</t>
  </si>
  <si>
    <t>H144</t>
  </si>
  <si>
    <t>H153</t>
  </si>
  <si>
    <t>H185</t>
  </si>
  <si>
    <t>H192</t>
  </si>
  <si>
    <t>H195</t>
  </si>
  <si>
    <t>H200</t>
  </si>
  <si>
    <t>H201</t>
  </si>
  <si>
    <t>H219</t>
  </si>
  <si>
    <t>H224</t>
  </si>
  <si>
    <t>H226</t>
  </si>
  <si>
    <t>H231</t>
  </si>
  <si>
    <t>H236</t>
  </si>
  <si>
    <t>H237</t>
  </si>
  <si>
    <t>H246</t>
  </si>
  <si>
    <t>H247</t>
  </si>
  <si>
    <t>H249</t>
  </si>
  <si>
    <t>H254</t>
  </si>
  <si>
    <t>H266</t>
  </si>
  <si>
    <t>H267</t>
  </si>
  <si>
    <t>H269</t>
  </si>
  <si>
    <t>H270</t>
  </si>
  <si>
    <t>H277</t>
  </si>
  <si>
    <t>H278</t>
  </si>
  <si>
    <t>H279</t>
  </si>
  <si>
    <t>18.92</t>
  </si>
  <si>
    <t>32.17</t>
  </si>
  <si>
    <t>21.8</t>
  </si>
  <si>
    <t>23.38</t>
  </si>
  <si>
    <t>32.56</t>
  </si>
  <si>
    <t>21.72</t>
  </si>
  <si>
    <t>32.34</t>
  </si>
  <si>
    <t>29.14</t>
  </si>
  <si>
    <t>26.59</t>
  </si>
  <si>
    <t>32.09</t>
  </si>
  <si>
    <t>19.62</t>
  </si>
  <si>
    <t>33.2</t>
  </si>
  <si>
    <t>19.15</t>
  </si>
  <si>
    <t>27.47</t>
  </si>
  <si>
    <t>21.12</t>
  </si>
  <si>
    <t>30.3</t>
  </si>
  <si>
    <t>21.56</t>
  </si>
  <si>
    <t>21.71</t>
  </si>
  <si>
    <t>22.57</t>
  </si>
  <si>
    <t>33.57</t>
  </si>
  <si>
    <t>20.94</t>
  </si>
  <si>
    <t>25.4</t>
  </si>
  <si>
    <t>24.16</t>
  </si>
  <si>
    <t>20.54</t>
  </si>
  <si>
    <t>35.3</t>
  </si>
  <si>
    <t>BP</t>
  </si>
  <si>
    <t>NA</t>
  </si>
  <si>
    <t>Fold C/N</t>
  </si>
  <si>
    <t>HI + BP</t>
  </si>
  <si>
    <t>HI + SP + MP</t>
  </si>
  <si>
    <t xml:space="preserve"> M. catarrhalis</t>
  </si>
  <si>
    <t>P. aeruginosa</t>
  </si>
  <si>
    <t>S. aureus</t>
  </si>
  <si>
    <t>HI + MC</t>
  </si>
  <si>
    <t>MC</t>
  </si>
  <si>
    <t>640</t>
  </si>
  <si>
    <t>319</t>
  </si>
  <si>
    <t>654</t>
  </si>
  <si>
    <t>Weight</t>
  </si>
  <si>
    <t>Physical symptoms</t>
  </si>
  <si>
    <t>Eat poorly</t>
  </si>
  <si>
    <t>Stimulates crying</t>
  </si>
  <si>
    <t>Convulsion</t>
  </si>
  <si>
    <t>Cyanosis</t>
  </si>
  <si>
    <t>Weight (Mean ± SD)</t>
  </si>
  <si>
    <t>%Control</t>
  </si>
  <si>
    <t>%Navax</t>
  </si>
  <si>
    <r>
      <t>Age (months)</t>
    </r>
    <r>
      <rPr>
        <i/>
        <sz val="10"/>
        <color theme="1"/>
        <rFont val="Arial"/>
        <family val="2"/>
      </rPr>
      <t xml:space="preserve"> n</t>
    </r>
    <r>
      <rPr>
        <sz val="10"/>
        <color theme="1"/>
        <rFont val="Arial"/>
        <family val="2"/>
      </rPr>
      <t xml:space="preserve"> (%)</t>
    </r>
  </si>
  <si>
    <r>
      <t>Gender</t>
    </r>
    <r>
      <rPr>
        <i/>
        <sz val="10"/>
        <color theme="1"/>
        <rFont val="Arial"/>
        <family val="2"/>
      </rPr>
      <t xml:space="preserve"> n</t>
    </r>
    <r>
      <rPr>
        <sz val="10"/>
        <color theme="1"/>
        <rFont val="Arial"/>
        <family val="2"/>
      </rPr>
      <t xml:space="preserve"> (%)</t>
    </r>
  </si>
  <si>
    <r>
      <t xml:space="preserve">Physical symptoms </t>
    </r>
    <r>
      <rPr>
        <i/>
        <sz val="10"/>
        <color theme="1"/>
        <rFont val="Arial"/>
        <family val="2"/>
      </rPr>
      <t>n</t>
    </r>
    <r>
      <rPr>
        <sz val="10"/>
        <color theme="1"/>
        <rFont val="Arial"/>
        <family val="2"/>
      </rPr>
      <t xml:space="preserve"> (%)</t>
    </r>
  </si>
  <si>
    <r>
      <t>SpO</t>
    </r>
    <r>
      <rPr>
        <b/>
        <i/>
        <vertAlign val="subscript"/>
        <sz val="10"/>
        <color theme="1"/>
        <rFont val="Arial"/>
        <family val="2"/>
      </rPr>
      <t>2</t>
    </r>
    <r>
      <rPr>
        <b/>
        <i/>
        <sz val="10"/>
        <color theme="1"/>
        <rFont val="Arial"/>
        <family val="2"/>
      </rPr>
      <t xml:space="preserve"> (%), </t>
    </r>
    <r>
      <rPr>
        <i/>
        <sz val="10"/>
        <color theme="1"/>
        <rFont val="Arial"/>
        <family val="2"/>
      </rPr>
      <t>n</t>
    </r>
    <r>
      <rPr>
        <sz val="10"/>
        <color theme="1"/>
        <rFont val="Arial"/>
        <family val="2"/>
      </rPr>
      <t xml:space="preserve"> (%)</t>
    </r>
  </si>
  <si>
    <t>7.214 ± 2.139</t>
  </si>
  <si>
    <t>Physical symptoms (1: yes, 0: no)</t>
  </si>
  <si>
    <t>H. influenzae (HI)</t>
  </si>
  <si>
    <t>S. pneumoniae (SP)</t>
  </si>
  <si>
    <t>B. pertussis</t>
  </si>
  <si>
    <t>M. pneumoniae (MP)</t>
  </si>
  <si>
    <t>H. influenzae + S. pneumoniae (HI + SP)</t>
  </si>
  <si>
    <t>H. influenzae + B. pertussis (HI + BP)</t>
  </si>
  <si>
    <t>S. pneumoniae + M. pneumoniae (SP + MP)</t>
  </si>
  <si>
    <t>H. influenzae + S. pneumoniae + M. pneumoniae (HI + SP + MP)</t>
  </si>
  <si>
    <t>SP + MP</t>
  </si>
  <si>
    <t>Normal (0)</t>
  </si>
  <si>
    <t>bronchial wall thickening (4)</t>
  </si>
  <si>
    <t>Upper lobe opacities P (7)</t>
  </si>
  <si>
    <t>Osler's nodes, interstitial injury, hyperinflation (10)</t>
  </si>
  <si>
    <t>≤ 6</t>
  </si>
  <si>
    <t xml:space="preserve">&gt; 6 </t>
  </si>
  <si>
    <t>3.36 ± 1.336</t>
  </si>
  <si>
    <t>&lt;110</t>
  </si>
  <si>
    <t>≥110</t>
  </si>
  <si>
    <t>NEU</t>
  </si>
  <si>
    <t>&lt;6 month (&lt;5)</t>
  </si>
  <si>
    <t>6 -&gt; &lt;12 month (&lt;6)</t>
  </si>
  <si>
    <t>&gt;= 12 (&lt;5)</t>
  </si>
  <si>
    <t>&lt;6 month (&gt;15)</t>
  </si>
  <si>
    <t>6 -&gt; &lt;12 month (&gt;17.5)</t>
  </si>
  <si>
    <t>&gt;= 12 (&gt;17)</t>
  </si>
  <si>
    <t>&gt;450 (Insecrease)</t>
  </si>
  <si>
    <t>&lt;150 (Descrease)</t>
  </si>
  <si>
    <t>&lt;6 month (&gt;5)</t>
  </si>
  <si>
    <t>6 -&gt; &lt;12 month (&gt;8.5)</t>
  </si>
  <si>
    <t>&gt;= 12 (&gt;8.5)</t>
  </si>
  <si>
    <t>Hb</t>
  </si>
  <si>
    <t>Hb (&gt;= 6 months)</t>
  </si>
  <si>
    <t>150-450 (Nomal)</t>
  </si>
  <si>
    <t>&lt; 12 months (&gt;160)</t>
  </si>
  <si>
    <t>≥ 12 months (&gt;120)</t>
  </si>
  <si>
    <t>&lt;=2 months  (&gt;=60)</t>
  </si>
  <si>
    <t>&gt;2 -&lt;12 months (&gt;=50)</t>
  </si>
  <si>
    <t>&gt;= 12 months (&gt;=40)</t>
  </si>
  <si>
    <t xml:space="preserve">Hb  </t>
  </si>
  <si>
    <t>&lt;12   (&gt;=50)</t>
  </si>
  <si>
    <t>Cefotaxime</t>
  </si>
  <si>
    <t>Time used (day)</t>
  </si>
  <si>
    <t>Antibiotic 1</t>
  </si>
  <si>
    <t>Antibiotic 2</t>
  </si>
  <si>
    <t>Vancomycin</t>
  </si>
  <si>
    <t>Ceftriaxone</t>
  </si>
  <si>
    <t>Nguyen P. K</t>
  </si>
  <si>
    <t>Nguyen M. N</t>
  </si>
  <si>
    <t>Nguyen G. H</t>
  </si>
  <si>
    <t>Nguyen Đ. P</t>
  </si>
  <si>
    <t>Nguyen T. Đ</t>
  </si>
  <si>
    <t>Nguyen V. T</t>
  </si>
  <si>
    <t>Pham D. A</t>
  </si>
  <si>
    <t>Pham P. T</t>
  </si>
  <si>
    <t>Bui T. D</t>
  </si>
  <si>
    <t>Nguyen D. Đ. P</t>
  </si>
  <si>
    <t>Do N. H</t>
  </si>
  <si>
    <t>Mai H. V</t>
  </si>
  <si>
    <t>Tran N. C</t>
  </si>
  <si>
    <t>Vu N. V</t>
  </si>
  <si>
    <t>Nguyen Đ. T</t>
  </si>
  <si>
    <t>Nguyen B. Đ. K</t>
  </si>
  <si>
    <t>Tran M. K</t>
  </si>
  <si>
    <t>Hoang M. N</t>
  </si>
  <si>
    <t>Bui N. M. A</t>
  </si>
  <si>
    <t>Pham M. M. D</t>
  </si>
  <si>
    <t>Hoang M. Q</t>
  </si>
  <si>
    <t>Kieu T. V</t>
  </si>
  <si>
    <t>Ha H. T</t>
  </si>
  <si>
    <t>Nguyen L. C</t>
  </si>
  <si>
    <t>Pham M. L</t>
  </si>
  <si>
    <t>Loc P. H</t>
  </si>
  <si>
    <t>Nguyen B. D</t>
  </si>
  <si>
    <t>Le T. D</t>
  </si>
  <si>
    <t>Bui K. V</t>
  </si>
  <si>
    <t>Luong T. D</t>
  </si>
  <si>
    <t>Le H. P</t>
  </si>
  <si>
    <t>Thai D. B</t>
  </si>
  <si>
    <t>Chu M. K</t>
  </si>
  <si>
    <t>Le H. D</t>
  </si>
  <si>
    <t>Nguyen A. Đ</t>
  </si>
  <si>
    <t>Luong T. T</t>
  </si>
  <si>
    <t>Nguyen P. H</t>
  </si>
  <si>
    <t>Nguyen H. M</t>
  </si>
  <si>
    <t>Nguyen N. M. C</t>
  </si>
  <si>
    <t>Vu Q. V</t>
  </si>
  <si>
    <t>Dang M. T</t>
  </si>
  <si>
    <t>Dang G. K</t>
  </si>
  <si>
    <t>Tran T. K</t>
  </si>
  <si>
    <t>Do H. M</t>
  </si>
  <si>
    <t>Cao H. Đ. N</t>
  </si>
  <si>
    <t>Bui P. Đ</t>
  </si>
  <si>
    <t>Giang K. N</t>
  </si>
  <si>
    <t>Pham P. L</t>
  </si>
  <si>
    <t>Le H. Q</t>
  </si>
  <si>
    <t>Hoang G. H</t>
  </si>
  <si>
    <t>Tran	 B. A</t>
  </si>
  <si>
    <t>Van	 T. H</t>
  </si>
  <si>
    <t>Vu	 M. P</t>
  </si>
  <si>
    <t>Nguyen	 P. K</t>
  </si>
  <si>
    <t>Luong	 N. T. T</t>
  </si>
  <si>
    <t>Bui	 T. K</t>
  </si>
  <si>
    <t>Vu	 H. A</t>
  </si>
  <si>
    <t>Do	 V. M. Q</t>
  </si>
  <si>
    <t>Nguyen	 A. N</t>
  </si>
  <si>
    <t>Doan	 A. T</t>
  </si>
  <si>
    <t>Bui	 N. H</t>
  </si>
  <si>
    <t>Pham	 N. L</t>
  </si>
  <si>
    <t>Nguyen	 A. Q</t>
  </si>
  <si>
    <t>Ha	 K. L</t>
  </si>
  <si>
    <t>Nguyen	 N. T. L</t>
  </si>
  <si>
    <t>Nguyen	 Đ. Đ</t>
  </si>
  <si>
    <t>Le	 T. S</t>
  </si>
  <si>
    <t>Nguyen	 Q. K</t>
  </si>
  <si>
    <t>Tran	 N. T. N</t>
  </si>
  <si>
    <t>Vu	 A. N</t>
  </si>
  <si>
    <t>Pham	 Q. A</t>
  </si>
  <si>
    <t>Nguyen	 Đ. M. V</t>
  </si>
  <si>
    <t>Pham	 M. T</t>
  </si>
  <si>
    <t>Do	 H. P</t>
  </si>
  <si>
    <t>Vu	 H. B</t>
  </si>
  <si>
    <t>Nguyen	 P. A. T</t>
  </si>
  <si>
    <t>Nguyen	 D. L</t>
  </si>
  <si>
    <t>Trinh	 H. H</t>
  </si>
  <si>
    <t>Tran	 M. A</t>
  </si>
  <si>
    <t>Vu	 P. L</t>
  </si>
  <si>
    <t>Huynh	 T. H</t>
  </si>
  <si>
    <t>Nguyen	 N. L. S</t>
  </si>
  <si>
    <t>Nguyen	 M. C</t>
  </si>
  <si>
    <t>Luong	 N. Á</t>
  </si>
  <si>
    <t>Quach	 M. K</t>
  </si>
  <si>
    <t>Nguyen	 P. L</t>
  </si>
  <si>
    <t>Nguyen	 Đ. A. K</t>
  </si>
  <si>
    <t>Le	 A. Đ</t>
  </si>
  <si>
    <t>Hoang	 T. D</t>
  </si>
  <si>
    <t>Nguyen	 N. D</t>
  </si>
  <si>
    <t>Tran	 M. N</t>
  </si>
  <si>
    <t>La	 H. Đ</t>
  </si>
  <si>
    <t>Do	 T. A</t>
  </si>
  <si>
    <t>Nguyen	 D. T</t>
  </si>
  <si>
    <t>Tran	 L. N. M</t>
  </si>
  <si>
    <t>Duong	 K. N</t>
  </si>
  <si>
    <t>Ha	 M. K</t>
  </si>
  <si>
    <t>Nguyen	 H. H</t>
  </si>
  <si>
    <t>Le	 K. H</t>
  </si>
  <si>
    <t>Hoang	 M. K</t>
  </si>
  <si>
    <t>Do	 Q. B</t>
  </si>
  <si>
    <t>Luong	 N. A</t>
  </si>
  <si>
    <t>Mycoplasma pneumoniae</t>
  </si>
  <si>
    <t>Bordetella pertussis</t>
  </si>
  <si>
    <t>Haemophilus influenzae</t>
  </si>
  <si>
    <t>Streptococcus pneumoniae</t>
  </si>
  <si>
    <t>RSV</t>
  </si>
  <si>
    <t>Co-bacteria</t>
  </si>
  <si>
    <t>Group</t>
  </si>
  <si>
    <t>H. influenzae</t>
  </si>
  <si>
    <t>S. pneumoniae</t>
  </si>
  <si>
    <t>Δ IL-6 (pg/mL) day 3 vs day 0</t>
  </si>
  <si>
    <t>Δ IL-8 (pg/mL) day 3 vs day 0</t>
  </si>
  <si>
    <t>≥ 92%.</t>
  </si>
  <si>
    <t>&lt; 92%</t>
  </si>
  <si>
    <t>&lt;40</t>
  </si>
  <si>
    <r>
      <rPr>
        <sz val="10"/>
        <rFont val="Calibri"/>
        <family val="2"/>
      </rPr>
      <t>≥</t>
    </r>
    <r>
      <rPr>
        <sz val="10"/>
        <rFont val="Arial"/>
        <family val="2"/>
      </rPr>
      <t>40</t>
    </r>
  </si>
  <si>
    <t>Full name _Navax group</t>
  </si>
  <si>
    <t>Characteristics</t>
  </si>
  <si>
    <t>Moraxella catarrhalis</t>
  </si>
  <si>
    <t>Change medication</t>
  </si>
  <si>
    <t>Combination</t>
  </si>
  <si>
    <t>B. subtilis +  B. clausii_Day 3</t>
  </si>
  <si>
    <t>Positive</t>
  </si>
  <si>
    <t>Age of control (month)</t>
  </si>
  <si>
    <t>Age of Navax (month)</t>
  </si>
  <si>
    <t>Probiotic test</t>
  </si>
  <si>
    <r>
      <t xml:space="preserve">Association of RSV load reductions with total co-infection bacteria, </t>
    </r>
    <r>
      <rPr>
        <b/>
        <i/>
        <sz val="10"/>
        <color theme="1"/>
        <rFont val="Arial"/>
        <family val="2"/>
      </rPr>
      <t>H. influenzae</t>
    </r>
    <r>
      <rPr>
        <b/>
        <sz val="10"/>
        <color theme="1"/>
        <rFont val="Arial"/>
        <family val="2"/>
      </rPr>
      <t xml:space="preserve"> and </t>
    </r>
    <r>
      <rPr>
        <b/>
        <i/>
        <sz val="10"/>
        <color theme="1"/>
        <rFont val="Arial"/>
        <family val="2"/>
      </rPr>
      <t>S. pneumoniae</t>
    </r>
  </si>
  <si>
    <t>Δ TNF-α (pg/mL) day 3 vs day 0</t>
  </si>
  <si>
    <t>D0/D3</t>
  </si>
  <si>
    <t>Δ IgA (µg/mL) day 3 vs day 0</t>
  </si>
  <si>
    <t>Class</t>
  </si>
  <si>
    <t>median_shanon</t>
  </si>
  <si>
    <t>median_pielou</t>
  </si>
  <si>
    <t>median_faithpd</t>
  </si>
  <si>
    <t>median_chao1</t>
  </si>
  <si>
    <t>Control_day0</t>
  </si>
  <si>
    <t>Control_day3</t>
  </si>
  <si>
    <t>Navax_day0</t>
  </si>
  <si>
    <t>Navax_day3</t>
  </si>
  <si>
    <t>Control_day 0</t>
  </si>
  <si>
    <t>Control_day 3</t>
  </si>
  <si>
    <t>Navax_day 0</t>
  </si>
  <si>
    <t>Navax_day 3</t>
  </si>
  <si>
    <t>* Significant between 4 Class: Navax day 0, Navax day 3, Control day 0, Control day 3</t>
  </si>
  <si>
    <t>meaning: at least 1 Class different with others</t>
  </si>
  <si>
    <t>Permutation test for adonis under reduced model</t>
  </si>
  <si>
    <t>Terms added sequentially (first to last)</t>
  </si>
  <si>
    <t>Permutation: free</t>
  </si>
  <si>
    <t>Number of permutations: 1000</t>
  </si>
  <si>
    <t>adonis2(formula = all_dist ~ Class * Group, data = meta_distance, permutations = 1000)</t>
  </si>
  <si>
    <t>Class     3   3.8082 0.17132 4.1348 0.000999 ***</t>
  </si>
  <si>
    <t xml:space="preserve">Residual 60  18.4206 0.82868                    </t>
  </si>
  <si>
    <t xml:space="preserve">Total    63  22.2289 1.00000  </t>
  </si>
  <si>
    <t>*Significant between 2 Group: Navax, Control</t>
  </si>
  <si>
    <t>adonis2(formula = all_dist ~ Group, data = meta_distance, permutations = 1000)</t>
  </si>
  <si>
    <t>Group     1   1.4272 0.06421 4.2539 0.000999 ***</t>
  </si>
  <si>
    <t xml:space="preserve">Residual 62  20.8016 0.93579                    </t>
  </si>
  <si>
    <t xml:space="preserve">Total    63  22.2289 1.00000      </t>
  </si>
  <si>
    <t>*Pairwise test</t>
  </si>
  <si>
    <t>Permutations</t>
  </si>
  <si>
    <t>pseudo-F</t>
  </si>
  <si>
    <t>p-value</t>
  </si>
  <si>
    <t>Class 1</t>
  </si>
  <si>
    <t>Class 2</t>
  </si>
  <si>
    <t>Control day 0</t>
  </si>
  <si>
    <t>Control day 3</t>
  </si>
  <si>
    <t>Navax day 0</t>
  </si>
  <si>
    <t>Navax day 3</t>
  </si>
  <si>
    <t>Actinomycetota</t>
  </si>
  <si>
    <t>Bacillota</t>
  </si>
  <si>
    <t>Bacteroidota</t>
  </si>
  <si>
    <t>Cyanobacteriota</t>
  </si>
  <si>
    <t>Others</t>
  </si>
  <si>
    <t>Proteobacteria</t>
  </si>
  <si>
    <t>Unclassified</t>
  </si>
  <si>
    <t>Alpha-diversity</t>
  </si>
  <si>
    <t>Beta-diversity</t>
  </si>
  <si>
    <t xml:space="preserve">         Df SumOfSqs      R2      F   Pr(&gt;F)    </t>
  </si>
  <si>
    <t>Agrobacterium fabrum</t>
  </si>
  <si>
    <t>Alloprevotella rava</t>
  </si>
  <si>
    <t>Bacillus stercoris</t>
  </si>
  <si>
    <t>Bacillus subtilis</t>
  </si>
  <si>
    <t>Bacillus tropicus</t>
  </si>
  <si>
    <t>Dolosigranulum pigrum</t>
  </si>
  <si>
    <t>Escherichia fergusonii</t>
  </si>
  <si>
    <t>Mesorhizobium amorphae</t>
  </si>
  <si>
    <t>Moraxella nonliquefaciens</t>
  </si>
  <si>
    <t>Potamosiphon australiensis</t>
  </si>
  <si>
    <t>Pseudomonas aeruginosa</t>
  </si>
  <si>
    <t>Streptococcus salivarius</t>
  </si>
  <si>
    <t>Agrobacterium</t>
  </si>
  <si>
    <t>Alkalihalobacillus</t>
  </si>
  <si>
    <t>Alloprevotella</t>
  </si>
  <si>
    <t>Aquabacterium</t>
  </si>
  <si>
    <t>Bacillus</t>
  </si>
  <si>
    <t>Brevibacillus</t>
  </si>
  <si>
    <t>Brucella</t>
  </si>
  <si>
    <t>Corynebacterium</t>
  </si>
  <si>
    <t>Dolosigranulum</t>
  </si>
  <si>
    <t>Escherichia</t>
  </si>
  <si>
    <t>Haemophilus</t>
  </si>
  <si>
    <t>Klebsiella</t>
  </si>
  <si>
    <t>Mesorhizobium</t>
  </si>
  <si>
    <t>Moraxella</t>
  </si>
  <si>
    <t>Mycobacteroides</t>
  </si>
  <si>
    <t>Potamosiphon</t>
  </si>
  <si>
    <t>Pseudomonas</t>
  </si>
  <si>
    <t>Staphylococcus</t>
  </si>
  <si>
    <t>Streptococcus</t>
  </si>
  <si>
    <t>p.value</t>
  </si>
  <si>
    <t>LFC</t>
  </si>
  <si>
    <t>Brevibacterium</t>
  </si>
  <si>
    <t>Nevskia</t>
  </si>
  <si>
    <t>Paracoccus</t>
  </si>
  <si>
    <t>Priestia</t>
  </si>
  <si>
    <t>Sphingobium</t>
  </si>
  <si>
    <t>Sphingomonas</t>
  </si>
  <si>
    <t>Brevibacterium casei</t>
  </si>
  <si>
    <t>Sphingomonas sanguinis</t>
  </si>
  <si>
    <t>Alkalihalobacillus rhizosphaerae</t>
  </si>
  <si>
    <t>Aquabacterium commune</t>
  </si>
  <si>
    <t>Nevskia lacus</t>
  </si>
  <si>
    <t>Rothia mucilaginosa</t>
  </si>
  <si>
    <t>Veillonella atypica</t>
  </si>
  <si>
    <t>Acidovorax carolinensis</t>
  </si>
  <si>
    <t>Acinetobacter junii</t>
  </si>
  <si>
    <t>Bosea vaviloviae</t>
  </si>
  <si>
    <t>Brachybacterium faecium</t>
  </si>
  <si>
    <t>Bradyrhizobium australafricanum</t>
  </si>
  <si>
    <t>Brevundimonas naejangsanensis</t>
  </si>
  <si>
    <t>Brucella lupini</t>
  </si>
  <si>
    <t>Cutibacterium acnes</t>
  </si>
  <si>
    <t>Methyloversatilis universalis</t>
  </si>
  <si>
    <t>Paracoccus onubensis</t>
  </si>
  <si>
    <t>Sphingobium xenophagum</t>
  </si>
  <si>
    <t>Tsukamurella hominis</t>
  </si>
  <si>
    <r>
      <t xml:space="preserve">Genus </t>
    </r>
    <r>
      <rPr>
        <b/>
        <sz val="10"/>
        <color theme="1"/>
        <rFont val="Arial"/>
        <family val="2"/>
      </rPr>
      <t>(Relative abundance %)</t>
    </r>
  </si>
  <si>
    <r>
      <t>Phylum</t>
    </r>
    <r>
      <rPr>
        <b/>
        <sz val="10"/>
        <color theme="1"/>
        <rFont val="Arial"/>
        <family val="2"/>
      </rPr>
      <t xml:space="preserve"> (Relative abundance %)</t>
    </r>
  </si>
  <si>
    <r>
      <t xml:space="preserve">Species </t>
    </r>
    <r>
      <rPr>
        <b/>
        <sz val="10"/>
        <color theme="1"/>
        <rFont val="Arial"/>
        <family val="2"/>
      </rPr>
      <t>(Relative abundance %)</t>
    </r>
  </si>
  <si>
    <t>Genus (Lefse)</t>
  </si>
  <si>
    <t>Species (Lefse)</t>
  </si>
  <si>
    <t>Fig. 2 Effective in improving clinical symptoms of the Navax and Control groups</t>
  </si>
  <si>
    <r>
      <t>Fig. 5 Alterations in the nasal microbiome</t>
    </r>
    <r>
      <rPr>
        <sz val="16"/>
        <color rgb="FF0070C0"/>
        <rFont val="Arial"/>
        <family val="2"/>
      </rPr>
      <t>. Alpha diversity and beta diversity of 16S rRNA microbiota. Distribution of major phyla, major genera and Log</t>
    </r>
    <r>
      <rPr>
        <vertAlign val="subscript"/>
        <sz val="16"/>
        <color rgb="FF0070C0"/>
        <rFont val="Arial"/>
        <family val="2"/>
      </rPr>
      <t>2</t>
    </r>
    <r>
      <rPr>
        <sz val="16"/>
        <color rgb="FF0070C0"/>
        <rFont val="Arial"/>
        <family val="2"/>
      </rPr>
      <t xml:space="preserve"> fold change (LFC) in the relative abundance of genera and species in the Navax group and Control group</t>
    </r>
  </si>
  <si>
    <t>Full name_Control group</t>
  </si>
  <si>
    <t>Mann Whitney test</t>
  </si>
  <si>
    <t>    P value</t>
  </si>
  <si>
    <t>    Exact or approximate P value?</t>
  </si>
  <si>
    <t>    P value summary</t>
  </si>
  <si>
    <t>    Significantly different (P &lt; 0.05)?</t>
  </si>
  <si>
    <t>    One- or two-tailed P value?</t>
  </si>
  <si>
    <t>    Sum of  ranks in column A,B</t>
  </si>
  <si>
    <t>2833 , 2217</t>
  </si>
  <si>
    <t>    Mann-Whitney U</t>
  </si>
  <si>
    <t>Difference between medians</t>
  </si>
  <si>
    <t>    Median of column A</t>
  </si>
  <si>
    <t>5.000, n=49</t>
  </si>
  <si>
    <t>    Median of column B</t>
  </si>
  <si>
    <t>4.000, n=51</t>
  </si>
  <si>
    <t>    Difference: Actual</t>
  </si>
  <si>
    <t>    Difference: Hodges-Lehmann</t>
  </si>
  <si>
    <t>Table Analyzed</t>
  </si>
  <si>
    <t>Column B</t>
  </si>
  <si>
    <t>Navax  </t>
  </si>
  <si>
    <t>Column A</t>
  </si>
  <si>
    <t>Control </t>
  </si>
  <si>
    <t>Test for normal distribution</t>
  </si>
  <si>
    <t>  Shapiro-Wilk test</t>
  </si>
  <si>
    <t>    W</t>
  </si>
  <si>
    <t>    Passed normality test (alpha=0.05)?</t>
  </si>
  <si>
    <t>Number of values</t>
  </si>
  <si>
    <t>2015 , 1389</t>
  </si>
  <si>
    <t>4.000, n=43</t>
  </si>
  <si>
    <t>3.000, n=39</t>
  </si>
  <si>
    <t>Dry rales</t>
  </si>
  <si>
    <t>2125 , 1531</t>
  </si>
  <si>
    <t>4.000, n=45</t>
  </si>
  <si>
    <t>4.000, n=40</t>
  </si>
  <si>
    <t>Moist rales</t>
  </si>
  <si>
    <t>2844 , 2207</t>
  </si>
  <si>
    <t>5.000, n=50</t>
  </si>
  <si>
    <t>4.000, n=50</t>
  </si>
  <si>
    <t>2849 , 2303</t>
  </si>
  <si>
    <t>6.000, n=50</t>
  </si>
  <si>
    <t>5.000, n=51</t>
  </si>
  <si>
    <t>5.000, n=22</t>
  </si>
  <si>
    <t>4.000, n=21</t>
  </si>
  <si>
    <t>4.000, n=27</t>
  </si>
  <si>
    <t xml:space="preserve">Fig. 2 Statistical analysis for data of effective in improving clinical symptoms of the Navax and Control groups											</t>
  </si>
  <si>
    <t>Fig. 3 Reduction in viral, bacterial loads and their correlation</t>
  </si>
  <si>
    <t>Fig.3 Statistical analysis for Data of reduction in viral, bacterial loads and their correlation</t>
  </si>
  <si>
    <t>Days required oxygen therapy</t>
  </si>
  <si>
    <t>Navax </t>
  </si>
  <si>
    <t>1886 , 1196</t>
  </si>
  <si>
    <t>4.000, n=41</t>
  </si>
  <si>
    <t>2.000, n=37</t>
  </si>
  <si>
    <t>Total treatment days</t>
  </si>
  <si>
    <t>2836 , 2316</t>
  </si>
  <si>
    <t>7.000, n=50</t>
  </si>
  <si>
    <t>6.000, n=51</t>
  </si>
  <si>
    <t>25% Percentile</t>
  </si>
  <si>
    <t>75% Percentile</t>
  </si>
  <si>
    <t>95% CI of median</t>
  </si>
  <si>
    <t>  Actual confidence level</t>
  </si>
  <si>
    <t>96.72%</t>
  </si>
  <si>
    <t>95.11%</t>
  </si>
  <si>
    <t>  Lower confidence limit</t>
  </si>
  <si>
    <t>  Upper confidence limit</t>
  </si>
  <si>
    <t>Std. Deviation</t>
  </si>
  <si>
    <t>Std. Error of Mean</t>
  </si>
  <si>
    <t>1913 , 3238</t>
  </si>
  <si>
    <t>251.5, n=50</t>
  </si>
  <si>
    <t>3956, n=51</t>
  </si>
  <si>
    <t>    95.02% CI of difference</t>
  </si>
  <si>
    <t>723.0 to 7429</t>
  </si>
  <si>
    <t>    Exact or approximate CI?</t>
  </si>
  <si>
    <t>96.04%</t>
  </si>
  <si>
    <t>Co-bacterial infection</t>
  </si>
  <si>
    <t>2992 , 4883</t>
  </si>
  <si>
    <t>256.0, n=61</t>
  </si>
  <si>
    <t>4096, n=64</t>
  </si>
  <si>
    <t>    95.00% CI of difference</t>
  </si>
  <si>
    <t>572.0 to 7168</t>
  </si>
  <si>
    <t>96.64%</t>
  </si>
  <si>
    <t>1436 , 1804</t>
  </si>
  <si>
    <t>275.0, n=42</t>
  </si>
  <si>
    <t>2807, n=38</t>
  </si>
  <si>
    <t>    95.05% CI of difference</t>
  </si>
  <si>
    <t>32.00 to 6144</t>
  </si>
  <si>
    <t>98.71%</t>
  </si>
  <si>
    <t>173 , 568</t>
  </si>
  <si>
    <t>768.0, n=14</t>
  </si>
  <si>
    <t>8801, n=24</t>
  </si>
  <si>
    <t>    95.35% CI of difference</t>
  </si>
  <si>
    <t>1024 to 16384</t>
  </si>
  <si>
    <r>
      <t>Control (</t>
    </r>
    <r>
      <rPr>
        <i/>
        <sz val="10"/>
        <rFont val="Arial"/>
        <family val="2"/>
      </rPr>
      <t>n </t>
    </r>
    <r>
      <rPr>
        <sz val="10"/>
        <rFont val="Arial"/>
        <family val="2"/>
      </rPr>
      <t>= 50) </t>
    </r>
  </si>
  <si>
    <r>
      <t>Navax   (</t>
    </r>
    <r>
      <rPr>
        <i/>
        <sz val="10"/>
        <rFont val="Arial"/>
        <family val="2"/>
      </rPr>
      <t>n</t>
    </r>
    <r>
      <rPr>
        <sz val="10"/>
        <rFont val="Arial"/>
        <family val="2"/>
      </rPr>
      <t> = 51)</t>
    </r>
  </si>
  <si>
    <t>Day 0</t>
  </si>
  <si>
    <t>Day 3</t>
  </si>
  <si>
    <t>95.30%</t>
  </si>
  <si>
    <t>IL-6 concentration</t>
  </si>
  <si>
    <t>Control D3</t>
  </si>
  <si>
    <t>Control D0</t>
  </si>
  <si>
    <t>Wilcoxon matched-pairs signed rank test</t>
  </si>
  <si>
    <t>    Sum of positive, negative ranks</t>
  </si>
  <si>
    <t>255.0 , -448.0</t>
  </si>
  <si>
    <t>    Sum of signed ranks (W)</t>
  </si>
  <si>
    <t>    Number of pairs</t>
  </si>
  <si>
    <t>    Number of ties (ignored)</t>
  </si>
  <si>
    <t>Median of differences</t>
  </si>
  <si>
    <t>    Median</t>
  </si>
  <si>
    <t>Column D</t>
  </si>
  <si>
    <t>Navax D3</t>
  </si>
  <si>
    <t>Column C</t>
  </si>
  <si>
    <t>Navax D0</t>
  </si>
  <si>
    <t>98.00 , -568.0</t>
  </si>
  <si>
    <t>    Sum of  ranks in column B,D</t>
  </si>
  <si>
    <t>1402 , 1300</t>
  </si>
  <si>
    <t>15.61, n=37</t>
  </si>
  <si>
    <t>    Median of column D</t>
  </si>
  <si>
    <t>13.84, n=36</t>
  </si>
  <si>
    <t>    Sum of  ranks in column A,C</t>
  </si>
  <si>
    <t>1345 , 1356</t>
  </si>
  <si>
    <t>54.25, n=37</t>
  </si>
  <si>
    <t>    Median of column C</t>
  </si>
  <si>
    <t>63.73, n=36</t>
  </si>
  <si>
    <r>
      <t>Navax   (</t>
    </r>
    <r>
      <rPr>
        <i/>
        <sz val="10"/>
        <rFont val="Arial"/>
        <family val="2"/>
      </rPr>
      <t>n </t>
    </r>
    <r>
      <rPr>
        <sz val="10"/>
        <rFont val="Arial"/>
        <family val="2"/>
      </rPr>
      <t>= 50)</t>
    </r>
  </si>
  <si>
    <t>96.00%</t>
  </si>
  <si>
    <t>Control D0 </t>
  </si>
  <si>
    <t>515.0 , -613.0</t>
  </si>
  <si>
    <t>371.0 , -904.0</t>
  </si>
  <si>
    <t>2277 , 2476</t>
  </si>
  <si>
    <t>480.3, n=47</t>
  </si>
  <si>
    <t>452.6, n=50</t>
  </si>
  <si>
    <t>2070 , 2683</t>
  </si>
  <si>
    <t>547.1, n=47</t>
  </si>
  <si>
    <t>655.1, n=50</t>
  </si>
  <si>
    <r>
      <t>Control (</t>
    </r>
    <r>
      <rPr>
        <i/>
        <sz val="10"/>
        <rFont val="Arial"/>
        <family val="2"/>
      </rPr>
      <t>n</t>
    </r>
    <r>
      <rPr>
        <sz val="10"/>
        <rFont val="Arial"/>
        <family val="2"/>
      </rPr>
      <t> = 50)</t>
    </r>
  </si>
  <si>
    <r>
      <t>Navax   (</t>
    </r>
    <r>
      <rPr>
        <i/>
        <sz val="10"/>
        <rFont val="Arial"/>
        <family val="2"/>
      </rPr>
      <t>n </t>
    </r>
    <r>
      <rPr>
        <sz val="10"/>
        <rFont val="Arial"/>
        <family val="2"/>
      </rPr>
      <t>= 51)</t>
    </r>
  </si>
  <si>
    <t>97.57%</t>
  </si>
  <si>
    <t>97.06%</t>
  </si>
  <si>
    <t>Control Day 3</t>
  </si>
  <si>
    <t>Control Day 0</t>
  </si>
  <si>
    <t>48.00 , -513.0</t>
  </si>
  <si>
    <t>Navax Day 3</t>
  </si>
  <si>
    <t>Navax Day 0</t>
  </si>
  <si>
    <t>21.00 , -475.0</t>
  </si>
  <si>
    <t>1208 , 937</t>
  </si>
  <si>
    <t>2.402, n=34</t>
  </si>
  <si>
    <t>0.000, n=31</t>
  </si>
  <si>
    <t>1126 , 1020</t>
  </si>
  <si>
    <t>48.77, n=34</t>
  </si>
  <si>
    <t>47.94, n=31</t>
  </si>
  <si>
    <r>
      <t>Navax (</t>
    </r>
    <r>
      <rPr>
        <i/>
        <sz val="10"/>
        <rFont val="Arial"/>
        <family val="2"/>
      </rPr>
      <t>n</t>
    </r>
    <r>
      <rPr>
        <sz val="10"/>
        <rFont val="Arial"/>
        <family val="2"/>
      </rPr>
      <t> = 51)</t>
    </r>
  </si>
  <si>
    <t>662.0 , -466.0</t>
  </si>
  <si>
    <t>790.0 , -386.0</t>
  </si>
  <si>
    <t>2236 , 2324</t>
  </si>
  <si>
    <t>6.299, n=47</t>
  </si>
  <si>
    <t>6.654, n=48</t>
  </si>
  <si>
    <t>2196 , 2364</t>
  </si>
  <si>
    <t>7.171, n=47</t>
  </si>
  <si>
    <t>11.12, n=48</t>
  </si>
  <si>
    <t>1811 , 1115</t>
  </si>
  <si>
    <t>2.000, n=39</t>
  </si>
  <si>
    <t>1.000, n=37</t>
  </si>
  <si>
    <t>2798 , 2253</t>
  </si>
  <si>
    <t>842.5 , 642.5</t>
  </si>
  <si>
    <t>5.000, n=27</t>
  </si>
  <si>
    <t>577.5 , 368.5</t>
  </si>
  <si>
    <t>Days need to Treatment that 50% symptomatic patients, DT50</t>
  </si>
  <si>
    <t>1.2-2.0 folds</t>
  </si>
  <si>
    <t xml:space="preserve"> Dry rales</t>
  </si>
  <si>
    <t xml:space="preserve"> Wheezy</t>
  </si>
  <si>
    <t xml:space="preserve"> Cough</t>
  </si>
  <si>
    <t xml:space="preserve"> Diarrhea</t>
  </si>
  <si>
    <t xml:space="preserve"> Vomit</t>
  </si>
  <si>
    <t xml:space="preserve"> Total treatment days</t>
  </si>
  <si>
    <t xml:space="preserve"> Days on oxygen therapy</t>
  </si>
  <si>
    <t>IL-8 concentration</t>
  </si>
  <si>
    <t>TNF-a concentration</t>
  </si>
  <si>
    <t>IgA concentration</t>
  </si>
  <si>
    <r>
      <t>IL-8 concentration    pg/mL    (</t>
    </r>
    <r>
      <rPr>
        <b/>
        <i/>
        <sz val="10"/>
        <color theme="1"/>
        <rFont val="Arial"/>
        <family val="2"/>
      </rPr>
      <t>n</t>
    </r>
    <r>
      <rPr>
        <b/>
        <sz val="10"/>
        <color theme="1"/>
        <rFont val="Arial"/>
        <family val="2"/>
      </rPr>
      <t xml:space="preserve"> = 50)</t>
    </r>
  </si>
  <si>
    <r>
      <t>TNF-α concentration pg/mL     (</t>
    </r>
    <r>
      <rPr>
        <b/>
        <i/>
        <sz val="10"/>
        <color theme="1"/>
        <rFont val="Arial"/>
        <family val="2"/>
      </rPr>
      <t>n</t>
    </r>
    <r>
      <rPr>
        <b/>
        <sz val="10"/>
        <color theme="1"/>
        <rFont val="Arial"/>
        <family val="2"/>
      </rPr>
      <t xml:space="preserve"> = 50)</t>
    </r>
  </si>
  <si>
    <r>
      <t xml:space="preserve">IgA concentration     </t>
    </r>
    <r>
      <rPr>
        <b/>
        <sz val="10"/>
        <color theme="1"/>
        <rFont val="Calibri"/>
        <family val="2"/>
      </rPr>
      <t>µ</t>
    </r>
    <r>
      <rPr>
        <b/>
        <sz val="10"/>
        <color theme="1"/>
        <rFont val="Arial"/>
        <family val="2"/>
      </rPr>
      <t>g/mL (</t>
    </r>
    <r>
      <rPr>
        <b/>
        <i/>
        <sz val="10"/>
        <color theme="1"/>
        <rFont val="Arial"/>
        <family val="2"/>
      </rPr>
      <t>n</t>
    </r>
    <r>
      <rPr>
        <b/>
        <sz val="10"/>
        <color theme="1"/>
        <rFont val="Arial"/>
        <family val="2"/>
      </rPr>
      <t xml:space="preserve"> = 50)</t>
    </r>
  </si>
  <si>
    <r>
      <t>IL-6 concentration   pg/mL       (</t>
    </r>
    <r>
      <rPr>
        <b/>
        <i/>
        <sz val="10"/>
        <color theme="1"/>
        <rFont val="Arial"/>
        <family val="2"/>
      </rPr>
      <t>n</t>
    </r>
    <r>
      <rPr>
        <b/>
        <sz val="10"/>
        <color theme="1"/>
        <rFont val="Arial"/>
        <family val="2"/>
      </rPr>
      <t xml:space="preserve"> = 51)</t>
    </r>
  </si>
  <si>
    <r>
      <t>IL-8 concentration   pg/mL      (</t>
    </r>
    <r>
      <rPr>
        <b/>
        <i/>
        <sz val="10"/>
        <color theme="1"/>
        <rFont val="Arial"/>
        <family val="2"/>
      </rPr>
      <t xml:space="preserve">n </t>
    </r>
    <r>
      <rPr>
        <b/>
        <sz val="10"/>
        <color theme="1"/>
        <rFont val="Arial"/>
        <family val="2"/>
      </rPr>
      <t>= 50)</t>
    </r>
  </si>
  <si>
    <r>
      <t>TNF-α concentration     pg/mL  (</t>
    </r>
    <r>
      <rPr>
        <b/>
        <i/>
        <sz val="10"/>
        <color theme="1"/>
        <rFont val="Arial"/>
        <family val="2"/>
      </rPr>
      <t>n</t>
    </r>
    <r>
      <rPr>
        <b/>
        <sz val="10"/>
        <color theme="1"/>
        <rFont val="Arial"/>
        <family val="2"/>
      </rPr>
      <t xml:space="preserve"> = 51)</t>
    </r>
  </si>
  <si>
    <r>
      <t>IgA concentration  mg/mL  (</t>
    </r>
    <r>
      <rPr>
        <b/>
        <i/>
        <sz val="10"/>
        <color theme="1"/>
        <rFont val="Arial"/>
        <family val="2"/>
      </rPr>
      <t>n</t>
    </r>
    <r>
      <rPr>
        <b/>
        <sz val="10"/>
        <color theme="1"/>
        <rFont val="Arial"/>
        <family val="2"/>
      </rPr>
      <t xml:space="preserve"> = 50)</t>
    </r>
  </si>
  <si>
    <t>3.67 ± 1.465</t>
  </si>
  <si>
    <t>7.474 ± 2.001</t>
  </si>
  <si>
    <t>Below standard range</t>
  </si>
  <si>
    <t>Above standard range</t>
  </si>
  <si>
    <t>Within standard range</t>
  </si>
  <si>
    <t xml:space="preserve">Fig 4. Pro-inflammatory cytokines levels (pg/mL) and IgA level (µg/mL) of Navax and Control groups </t>
  </si>
  <si>
    <t>Number of antibiotics in the first 2 days</t>
  </si>
  <si>
    <t>2 antibiotics</t>
  </si>
  <si>
    <t>1 antibiotic</t>
  </si>
  <si>
    <t>% Control</t>
  </si>
  <si>
    <t>% Navax</t>
  </si>
  <si>
    <t>Total time used</t>
  </si>
  <si>
    <t>Ground-glass opacity nodules in both lung fields (1)</t>
  </si>
  <si>
    <r>
      <t>Table 2</t>
    </r>
    <r>
      <rPr>
        <sz val="16"/>
        <color rgb="FF0070C0"/>
        <rFont val="Arial"/>
        <family val="2"/>
      </rPr>
      <t xml:space="preserve">. Sub-clinical characteristics of pneumoniae children before treatment </t>
    </r>
  </si>
  <si>
    <r>
      <t>Table 1</t>
    </r>
    <r>
      <rPr>
        <sz val="16"/>
        <color rgb="FF0070C0"/>
        <rFont val="Arial"/>
        <family val="2"/>
      </rPr>
      <t>. Demographic characteristics of pneumoniae children before treatment.</t>
    </r>
  </si>
  <si>
    <r>
      <t>IL-6 concentration   pg/mL    (</t>
    </r>
    <r>
      <rPr>
        <b/>
        <i/>
        <sz val="10"/>
        <color theme="1"/>
        <rFont val="Arial"/>
        <family val="2"/>
      </rPr>
      <t>n</t>
    </r>
    <r>
      <rPr>
        <b/>
        <sz val="10"/>
        <color theme="1"/>
        <rFont val="Arial"/>
        <family val="2"/>
      </rPr>
      <t xml:space="preserve"> = 50)</t>
    </r>
  </si>
  <si>
    <t>599.3 (baseline ~ 0.08)</t>
  </si>
  <si>
    <t>Age (month)</t>
  </si>
  <si>
    <t>Cultrure bacteria</t>
  </si>
  <si>
    <t>M. catarrhalis</t>
  </si>
  <si>
    <t xml:space="preserve">S. pneumoniae </t>
  </si>
  <si>
    <t>Chest X-ray</t>
  </si>
  <si>
    <t>Ampiciline/sulbactam</t>
  </si>
  <si>
    <t>Azithromycin</t>
  </si>
  <si>
    <t>Active ingredient</t>
  </si>
  <si>
    <t>817.5 , 893.5</t>
  </si>
  <si>
    <t>1.000, n=27</t>
  </si>
  <si>
    <t>1.000, n=31</t>
  </si>
  <si>
    <t>&gt;0.9999</t>
  </si>
  <si>
    <t>783 , 870</t>
  </si>
  <si>
    <t>1.000, n=30</t>
  </si>
  <si>
    <t>P value and statistical significance</t>
  </si>
  <si>
    <t>  Test</t>
  </si>
  <si>
    <t>Fisher's exact test</t>
  </si>
  <si>
    <t>  P value</t>
  </si>
  <si>
    <t>  P value summary</t>
  </si>
  <si>
    <t>  One- or two-sided</t>
  </si>
  <si>
    <t>  Statistically significant (P &lt; 0.05)?</t>
  </si>
  <si>
    <t>Data analyzed</t>
  </si>
  <si>
    <t>  Number of rows</t>
  </si>
  <si>
    <t>  Number of columns</t>
  </si>
  <si>
    <t>Culture bacteria</t>
  </si>
  <si>
    <t>1 antibiotic</t>
  </si>
  <si>
    <t>2 antibiotic</t>
  </si>
  <si>
    <t>Control D0/D3</t>
  </si>
  <si>
    <t>Navax D0/D3</t>
  </si>
  <si>
    <t>Retractions</t>
  </si>
  <si>
    <t>Rhinitis</t>
  </si>
  <si>
    <t xml:space="preserve"> Rhinitis</t>
  </si>
  <si>
    <t xml:space="preserve">Heart rate (beats/min) </t>
  </si>
  <si>
    <r>
      <t>SpO</t>
    </r>
    <r>
      <rPr>
        <b/>
        <vertAlign val="subscript"/>
        <sz val="10"/>
        <color theme="1"/>
        <rFont val="Arial"/>
        <family val="2"/>
      </rPr>
      <t>2</t>
    </r>
    <r>
      <rPr>
        <b/>
        <sz val="10"/>
        <color theme="1"/>
        <rFont val="Arial"/>
        <family val="2"/>
      </rPr>
      <t xml:space="preserve"> (%) </t>
    </r>
  </si>
  <si>
    <t>Tachycardia</t>
  </si>
  <si>
    <t>Tachypnea</t>
  </si>
  <si>
    <t>Respiratory rate (breaths/min)</t>
  </si>
  <si>
    <r>
      <t>Tachycardia</t>
    </r>
    <r>
      <rPr>
        <sz val="10"/>
        <color theme="1"/>
        <rFont val="Arial"/>
        <family val="2"/>
      </rPr>
      <t xml:space="preserve"> </t>
    </r>
    <r>
      <rPr>
        <i/>
        <sz val="10"/>
        <color theme="1"/>
        <rFont val="Arial"/>
        <family val="2"/>
      </rPr>
      <t>n</t>
    </r>
    <r>
      <rPr>
        <sz val="10"/>
        <color theme="1"/>
        <rFont val="Arial"/>
        <family val="2"/>
      </rPr>
      <t xml:space="preserve"> (%)</t>
    </r>
  </si>
  <si>
    <r>
      <t>Tachypnea</t>
    </r>
    <r>
      <rPr>
        <sz val="10"/>
        <color theme="1"/>
        <rFont val="Arial"/>
        <family val="2"/>
      </rPr>
      <t xml:space="preserve"> </t>
    </r>
    <r>
      <rPr>
        <i/>
        <sz val="10"/>
        <color theme="1"/>
        <rFont val="Arial"/>
        <family val="2"/>
      </rPr>
      <t>n</t>
    </r>
    <r>
      <rPr>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</si>
</sst>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57" x14ac:knownFonts="1">
    <font>
      <sz val="12"/>
      <color theme="1"/>
      <name val="Times New Roman"/>
      <family val="1"/>
    </font>
    <font>
      <sz val="11"/>
      <color theme="1"/>
      <name val="Calibri"/>
      <family val="2"/>
      <scheme val="minor"/>
    </font>
    <font>
      <b/>
      <sz val="14"/>
      <color rgb="FFC00000"/>
      <name val="Arial"/>
      <family val="2"/>
    </font>
    <font>
      <sz val="11"/>
      <name val="Arial"/>
      <family val="2"/>
    </font>
    <font>
      <sz val="11"/>
      <color theme="1"/>
      <name val="Arial"/>
      <family val="2"/>
    </font>
    <font>
      <b/>
      <sz val="11"/>
      <name val="Arial"/>
      <family val="2"/>
    </font>
    <font>
      <b/>
      <i/>
      <sz val="11"/>
      <name val="Arial"/>
      <family val="2"/>
    </font>
    <font>
      <b/>
      <sz val="11"/>
      <color rgb="FFC00000"/>
      <name val="Arial"/>
      <family val="2"/>
    </font>
    <font>
      <b/>
      <i/>
      <sz val="11"/>
      <color theme="1"/>
      <name val="Arial"/>
      <family val="2"/>
    </font>
    <font>
      <b/>
      <sz val="11"/>
      <color theme="1"/>
      <name val="Arial"/>
      <family val="2"/>
    </font>
    <font>
      <b/>
      <sz val="11"/>
      <color rgb="FFFF0000"/>
      <name val="Arial"/>
      <family val="2"/>
    </font>
    <font>
      <b/>
      <i/>
      <sz val="11"/>
      <color rgb="FFC00000"/>
      <name val="Arial"/>
      <family val="2"/>
    </font>
    <font>
      <i/>
      <sz val="11"/>
      <color theme="1"/>
      <name val="Arial"/>
      <family val="2"/>
    </font>
    <font>
      <sz val="11"/>
      <color rgb="FF000000"/>
      <name val="Arial"/>
      <family val="2"/>
    </font>
    <font>
      <u/>
      <sz val="11"/>
      <color theme="1"/>
      <name val="Arial"/>
      <family val="2"/>
    </font>
    <font>
      <i/>
      <sz val="11"/>
      <name val="Arial"/>
      <family val="2"/>
    </font>
    <font>
      <b/>
      <sz val="12"/>
      <color theme="1"/>
      <name val="Arial"/>
      <family val="2"/>
    </font>
    <font>
      <sz val="10"/>
      <name val="Arial"/>
      <family val="2"/>
    </font>
    <font>
      <i/>
      <sz val="11"/>
      <color rgb="FF000000"/>
      <name val="Arial"/>
      <family val="2"/>
    </font>
    <font>
      <b/>
      <sz val="11"/>
      <color rgb="FF000000"/>
      <name val="Arial"/>
      <family val="2"/>
    </font>
    <font>
      <b/>
      <sz val="14"/>
      <color rgb="FFC00000"/>
      <name val="Calibri"/>
      <family val="2"/>
    </font>
    <font>
      <b/>
      <sz val="10"/>
      <name val="Arial"/>
      <family val="2"/>
    </font>
    <font>
      <sz val="11"/>
      <color theme="1"/>
      <name val="Times New Roman"/>
      <family val="1"/>
    </font>
    <font>
      <b/>
      <sz val="11"/>
      <color theme="1"/>
      <name val="Times New Roman"/>
      <family val="1"/>
    </font>
    <font>
      <i/>
      <sz val="10"/>
      <name val="Arial"/>
      <family val="2"/>
    </font>
    <font>
      <sz val="12"/>
      <color theme="1"/>
      <name val="Arial"/>
      <family val="2"/>
    </font>
    <font>
      <b/>
      <i/>
      <sz val="12"/>
      <color theme="1"/>
      <name val="Arial"/>
      <family val="2"/>
    </font>
    <font>
      <b/>
      <vertAlign val="superscript"/>
      <sz val="12"/>
      <color theme="1"/>
      <name val="Arial"/>
      <family val="2"/>
    </font>
    <font>
      <sz val="10"/>
      <color theme="1"/>
      <name val="Arial"/>
      <family val="2"/>
    </font>
    <font>
      <b/>
      <sz val="10"/>
      <color theme="1"/>
      <name val="Arial"/>
      <family val="2"/>
    </font>
    <font>
      <b/>
      <vertAlign val="subscript"/>
      <sz val="10"/>
      <color theme="1"/>
      <name val="Arial"/>
      <family val="2"/>
    </font>
    <font>
      <sz val="10"/>
      <color rgb="FF000000"/>
      <name val="Arial"/>
      <family val="2"/>
    </font>
    <font>
      <i/>
      <sz val="10"/>
      <color theme="1"/>
      <name val="Arial"/>
      <family val="2"/>
    </font>
    <font>
      <b/>
      <i/>
      <sz val="10"/>
      <color theme="1"/>
      <name val="Arial"/>
      <family val="2"/>
    </font>
    <font>
      <b/>
      <i/>
      <vertAlign val="subscript"/>
      <sz val="10"/>
      <color theme="1"/>
      <name val="Arial"/>
      <family val="2"/>
    </font>
    <font>
      <sz val="10"/>
      <name val="Calibri"/>
      <family val="2"/>
    </font>
    <font>
      <b/>
      <sz val="10"/>
      <color rgb="FFFF0000"/>
      <name val="Arial"/>
      <family val="2"/>
    </font>
    <font>
      <b/>
      <sz val="12"/>
      <color rgb="FFC00000"/>
      <name val="Arial"/>
      <family val="2"/>
    </font>
    <font>
      <b/>
      <i/>
      <sz val="10"/>
      <name val="Arial"/>
      <family val="2"/>
    </font>
    <font>
      <b/>
      <sz val="16"/>
      <color rgb="FF0070C0"/>
      <name val="Arial"/>
      <family val="2"/>
    </font>
    <font>
      <sz val="16"/>
      <color rgb="FF0070C0"/>
      <name val="Arial"/>
      <family val="2"/>
    </font>
    <font>
      <b/>
      <sz val="10"/>
      <color indexed="8"/>
      <name val="Arial"/>
      <family val="2"/>
    </font>
    <font>
      <b/>
      <sz val="10"/>
      <color indexed="11"/>
      <name val="Arial"/>
      <family val="2"/>
    </font>
    <font>
      <sz val="10"/>
      <color indexed="8"/>
      <name val="Arial"/>
      <family val="2"/>
    </font>
    <font>
      <b/>
      <sz val="14"/>
      <color theme="1"/>
      <name val="Arial"/>
      <family val="2"/>
    </font>
    <font>
      <b/>
      <sz val="14"/>
      <color rgb="FF0070C0"/>
      <name val="Arial"/>
      <family val="2"/>
    </font>
    <font>
      <vertAlign val="subscript"/>
      <sz val="16"/>
      <color rgb="FF0070C0"/>
      <name val="Arial"/>
      <family val="2"/>
    </font>
    <font>
      <b/>
      <sz val="10"/>
      <color theme="1"/>
      <name val="Calibri"/>
      <family val="2"/>
    </font>
    <font>
      <b/>
      <sz val="10"/>
      <color theme="5"/>
      <name val="Arial"/>
      <family val="2"/>
    </font>
    <font>
      <b/>
      <sz val="18"/>
      <color rgb="FF0070C0"/>
      <name val="Arial"/>
      <family val="2"/>
    </font>
    <font>
      <sz val="10"/>
      <name val="Arial"/>
      <family val="2"/>
    </font>
    <font>
      <b/>
      <sz val="10"/>
      <color rgb="FF343541"/>
      <name val="Arial"/>
      <family val="2"/>
    </font>
    <font>
      <u/>
      <sz val="10"/>
      <color theme="1"/>
      <name val="Arial"/>
      <family val="2"/>
    </font>
    <font>
      <sz val="12"/>
      <color rgb="FF000000"/>
      <name val="Times New Roman"/>
      <family val="1"/>
    </font>
    <font>
      <b/>
      <sz val="11"/>
      <color indexed="8"/>
      <name val="Arial"/>
      <family val="2"/>
    </font>
    <font>
      <sz val="10"/>
      <name val="Arial"/>
    </font>
    <font>
      <b/>
      <sz val="12"/>
      <color rgb="FFFF0000"/>
      <name val="Arial"/>
      <family val="2"/>
    </font>
  </fonts>
  <fills count="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bgColor rgb="FFFFFFFF"/>
      </patternFill>
    </fill>
    <fill>
      <patternFill patternType="solid">
        <fgColor theme="0"/>
        <bgColor theme="0"/>
      </patternFill>
    </fill>
    <fill>
      <patternFill patternType="solid">
        <fgColor rgb="FFFFFFFF"/>
        <bgColor rgb="FFFFFFFF"/>
      </patternFill>
    </fill>
    <fill>
      <patternFill patternType="solid">
        <fgColor theme="0"/>
        <bgColor rgb="FFD8E4BC"/>
      </patternFill>
    </fill>
    <fill>
      <patternFill patternType="solid">
        <fgColor indexed="9"/>
        <bgColor auto="1"/>
      </patternFill>
    </fill>
  </fills>
  <borders count="2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CCCCCC"/>
      </top>
      <bottom style="medium">
        <color rgb="FFCCCCCC"/>
      </bottom>
      <diagonal/>
    </border>
    <border>
      <left style="thin">
        <color auto="1"/>
      </left>
      <right/>
      <top style="thin">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style="thin">
        <color auto="1"/>
      </bottom>
      <diagonal/>
    </border>
    <border>
      <left/>
      <right style="thin">
        <color rgb="FF000000"/>
      </right>
      <top style="thin">
        <color rgb="FF000000"/>
      </top>
      <bottom/>
      <diagonal/>
    </border>
    <border>
      <left/>
      <right/>
      <top style="thin">
        <color indexed="64"/>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bottom style="thin">
        <color rgb="FF000000"/>
      </bottom>
      <diagonal/>
    </border>
    <border>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auto="1"/>
      </left>
      <right/>
      <top style="thin">
        <color auto="1"/>
      </top>
      <bottom style="thin">
        <color auto="1"/>
      </bottom>
      <diagonal style="thin">
        <color auto="1"/>
      </diagonal>
    </border>
  </borders>
  <cellStyleXfs count="2">
    <xf numFmtId="0" fontId="0" fillId="0" borderId="0"/>
    <xf numFmtId="0" fontId="1" fillId="0" borderId="0"/>
  </cellStyleXfs>
  <cellXfs count="592">
    <xf numFmtId="0" fontId="0" fillId="0" borderId="0" xfId="0"/>
    <xf numFmtId="0" fontId="4" fillId="0" borderId="0" xfId="0" applyFont="1"/>
    <xf numFmtId="0" fontId="11"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xf>
    <xf numFmtId="0" fontId="7" fillId="0" borderId="0" xfId="0" applyFont="1"/>
    <xf numFmtId="0" fontId="4" fillId="0" borderId="0" xfId="0" applyFont="1" applyAlignment="1">
      <alignment horizontal="right"/>
    </xf>
    <xf numFmtId="0" fontId="4" fillId="0" borderId="0" xfId="0" applyFont="1" applyAlignment="1">
      <alignment horizontal="center"/>
    </xf>
    <xf numFmtId="0" fontId="4" fillId="0" borderId="0" xfId="0" applyFont="1" applyAlignment="1">
      <alignment horizontal="center" wrapText="1"/>
    </xf>
    <xf numFmtId="0" fontId="5" fillId="0" borderId="0" xfId="0" applyFont="1"/>
    <xf numFmtId="0" fontId="3" fillId="0" borderId="0" xfId="0" applyFont="1"/>
    <xf numFmtId="0" fontId="3" fillId="0" borderId="0" xfId="0" applyFont="1" applyAlignment="1">
      <alignment horizontal="center" vertical="center"/>
    </xf>
    <xf numFmtId="0" fontId="4" fillId="0" borderId="4" xfId="0" applyFont="1" applyBorder="1" applyAlignment="1">
      <alignment horizontal="center" vertical="center"/>
    </xf>
    <xf numFmtId="0" fontId="5" fillId="0" borderId="0" xfId="0" applyFont="1" applyAlignment="1">
      <alignment horizontal="center"/>
    </xf>
    <xf numFmtId="0" fontId="17" fillId="0" borderId="4" xfId="0" applyFont="1" applyBorder="1"/>
    <xf numFmtId="0" fontId="17" fillId="0" borderId="4" xfId="0" applyFont="1" applyBorder="1" applyAlignment="1">
      <alignment horizontal="left"/>
    </xf>
    <xf numFmtId="1" fontId="13" fillId="0" borderId="0" xfId="0" applyNumberFormat="1" applyFont="1" applyAlignment="1">
      <alignment horizontal="right"/>
    </xf>
    <xf numFmtId="1" fontId="15" fillId="0" borderId="0" xfId="0" applyNumberFormat="1" applyFont="1" applyAlignment="1">
      <alignment horizontal="center" vertical="center"/>
    </xf>
    <xf numFmtId="0" fontId="3" fillId="0" borderId="0" xfId="0" applyFont="1" applyAlignment="1">
      <alignment horizontal="left"/>
    </xf>
    <xf numFmtId="0" fontId="3" fillId="0" borderId="0" xfId="0" applyFont="1" applyAlignment="1">
      <alignment horizontal="left" vertical="center"/>
    </xf>
    <xf numFmtId="0" fontId="17" fillId="0" borderId="4" xfId="0" applyFont="1" applyBorder="1" applyAlignment="1">
      <alignment horizontal="center"/>
    </xf>
    <xf numFmtId="0" fontId="6" fillId="0" borderId="0" xfId="0" applyFont="1" applyAlignment="1">
      <alignment horizontal="center" vertical="center"/>
    </xf>
    <xf numFmtId="0" fontId="7" fillId="0" borderId="17" xfId="0" applyFont="1" applyBorder="1"/>
    <xf numFmtId="0" fontId="7" fillId="0" borderId="0" xfId="0" applyFont="1" applyAlignment="1">
      <alignment horizontal="center" vertical="center"/>
    </xf>
    <xf numFmtId="0" fontId="7" fillId="0" borderId="0" xfId="0" applyFont="1" applyAlignment="1">
      <alignment horizontal="center"/>
    </xf>
    <xf numFmtId="0" fontId="11" fillId="0" borderId="0" xfId="0" applyFont="1" applyAlignment="1">
      <alignment horizontal="center" vertical="center"/>
    </xf>
    <xf numFmtId="0" fontId="5" fillId="0" borderId="0" xfId="0" applyFont="1" applyAlignment="1">
      <alignment horizontal="left"/>
    </xf>
    <xf numFmtId="165" fontId="4" fillId="0" borderId="0" xfId="0" applyNumberFormat="1" applyFont="1" applyAlignment="1">
      <alignment horizontal="left"/>
    </xf>
    <xf numFmtId="2" fontId="4" fillId="0" borderId="0" xfId="0" applyNumberFormat="1" applyFont="1" applyAlignment="1">
      <alignment horizontal="left"/>
    </xf>
    <xf numFmtId="0" fontId="6" fillId="0" borderId="0" xfId="0" applyFont="1" applyAlignment="1">
      <alignment horizontal="center"/>
    </xf>
    <xf numFmtId="0" fontId="21" fillId="0" borderId="4" xfId="0" applyFont="1" applyBorder="1"/>
    <xf numFmtId="0" fontId="7" fillId="0" borderId="0" xfId="0" applyFont="1" applyAlignment="1">
      <alignment horizontal="center" wrapText="1"/>
    </xf>
    <xf numFmtId="0" fontId="7" fillId="3" borderId="0" xfId="0" applyFont="1" applyFill="1" applyAlignment="1">
      <alignment horizontal="center"/>
    </xf>
    <xf numFmtId="0" fontId="22" fillId="0" borderId="0" xfId="0" applyFont="1"/>
    <xf numFmtId="0" fontId="17" fillId="0" borderId="0" xfId="0" applyFont="1"/>
    <xf numFmtId="0" fontId="17" fillId="0" borderId="0" xfId="0" applyFont="1" applyAlignment="1">
      <alignment horizontal="center"/>
    </xf>
    <xf numFmtId="0" fontId="23" fillId="0" borderId="0" xfId="0" applyFont="1"/>
    <xf numFmtId="0" fontId="22"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center"/>
    </xf>
    <xf numFmtId="1" fontId="25" fillId="0" borderId="4" xfId="0" applyNumberFormat="1" applyFont="1" applyBorder="1" applyAlignment="1">
      <alignment horizontal="center" vertical="center"/>
    </xf>
    <xf numFmtId="165" fontId="25" fillId="0" borderId="4" xfId="0" applyNumberFormat="1" applyFont="1" applyBorder="1" applyAlignment="1">
      <alignment horizontal="center" vertical="center"/>
    </xf>
    <xf numFmtId="164" fontId="25" fillId="0" borderId="4" xfId="0" applyNumberFormat="1" applyFont="1" applyBorder="1" applyAlignment="1">
      <alignment horizontal="center" vertical="center"/>
    </xf>
    <xf numFmtId="2" fontId="25" fillId="0" borderId="4" xfId="0" applyNumberFormat="1" applyFont="1" applyBorder="1" applyAlignment="1">
      <alignment horizontal="center" vertical="center"/>
    </xf>
    <xf numFmtId="0" fontId="25" fillId="0" borderId="4" xfId="0" applyFont="1" applyBorder="1" applyAlignment="1">
      <alignment horizontal="center" vertical="center"/>
    </xf>
    <xf numFmtId="1" fontId="16" fillId="0" borderId="4" xfId="0" applyNumberFormat="1" applyFont="1" applyBorder="1" applyAlignment="1">
      <alignment horizontal="center" vertical="center"/>
    </xf>
    <xf numFmtId="0" fontId="16" fillId="0" borderId="4" xfId="0" applyFont="1" applyBorder="1" applyAlignment="1">
      <alignment horizontal="center" vertical="center"/>
    </xf>
    <xf numFmtId="14" fontId="25" fillId="0" borderId="4" xfId="0" applyNumberFormat="1" applyFont="1" applyBorder="1" applyAlignment="1">
      <alignment horizontal="center" vertical="center"/>
    </xf>
    <xf numFmtId="0" fontId="12" fillId="0" borderId="0" xfId="0" applyFont="1" applyAlignment="1">
      <alignment vertical="center"/>
    </xf>
    <xf numFmtId="1" fontId="26" fillId="0" borderId="4" xfId="0" applyNumberFormat="1" applyFont="1" applyBorder="1" applyAlignment="1">
      <alignment horizontal="center" vertical="center" wrapText="1"/>
    </xf>
    <xf numFmtId="0" fontId="9" fillId="0" borderId="4" xfId="0" applyFont="1" applyBorder="1"/>
    <xf numFmtId="1" fontId="16" fillId="0" borderId="4" xfId="0" applyNumberFormat="1" applyFont="1" applyBorder="1" applyAlignment="1">
      <alignment horizontal="center" vertical="center" wrapText="1"/>
    </xf>
    <xf numFmtId="1" fontId="12" fillId="0" borderId="0" xfId="0" applyNumberFormat="1" applyFont="1" applyAlignment="1">
      <alignment vertical="center"/>
    </xf>
    <xf numFmtId="0" fontId="25" fillId="0" borderId="0" xfId="0" applyFont="1"/>
    <xf numFmtId="0" fontId="25" fillId="0" borderId="4" xfId="0" applyFont="1" applyBorder="1"/>
    <xf numFmtId="0" fontId="16" fillId="0" borderId="4" xfId="0" applyFont="1" applyBorder="1" applyAlignment="1">
      <alignment vertical="center"/>
    </xf>
    <xf numFmtId="1" fontId="9" fillId="0" borderId="4" xfId="0" applyNumberFormat="1" applyFont="1" applyBorder="1" applyAlignment="1">
      <alignment horizontal="center" vertical="center"/>
    </xf>
    <xf numFmtId="0" fontId="28" fillId="0" borderId="4" xfId="0" applyFont="1" applyBorder="1" applyAlignment="1">
      <alignment horizontal="center" vertical="center"/>
    </xf>
    <xf numFmtId="0" fontId="32" fillId="0" borderId="4" xfId="0" applyFont="1" applyBorder="1" applyAlignment="1">
      <alignment horizontal="center" vertical="center" wrapText="1"/>
    </xf>
    <xf numFmtId="0" fontId="28"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horizontal="center"/>
    </xf>
    <xf numFmtId="10" fontId="3" fillId="0" borderId="0" xfId="0" applyNumberFormat="1" applyFont="1" applyAlignment="1">
      <alignment horizontal="center" vertical="center"/>
    </xf>
    <xf numFmtId="0" fontId="3" fillId="0" borderId="0" xfId="0" applyFont="1" applyAlignment="1">
      <alignment vertical="center"/>
    </xf>
    <xf numFmtId="164" fontId="4" fillId="0" borderId="0" xfId="0" applyNumberFormat="1" applyFont="1" applyAlignment="1">
      <alignment horizontal="center" vertical="center"/>
    </xf>
    <xf numFmtId="0" fontId="28" fillId="0" borderId="0" xfId="0" applyFont="1" applyAlignment="1">
      <alignment horizontal="center" vertical="center" wrapText="1"/>
    </xf>
    <xf numFmtId="0" fontId="28" fillId="0" borderId="4" xfId="0" applyFont="1" applyBorder="1" applyAlignment="1">
      <alignment horizontal="left"/>
    </xf>
    <xf numFmtId="165" fontId="28" fillId="0" borderId="4" xfId="0" applyNumberFormat="1" applyFont="1" applyBorder="1" applyAlignment="1">
      <alignment horizontal="center" vertical="center"/>
    </xf>
    <xf numFmtId="0" fontId="28" fillId="0" borderId="0" xfId="0" applyFont="1"/>
    <xf numFmtId="0" fontId="17" fillId="0" borderId="4" xfId="0" applyFont="1" applyBorder="1" applyAlignment="1">
      <alignment horizontal="center" vertical="center"/>
    </xf>
    <xf numFmtId="0" fontId="37" fillId="0" borderId="0" xfId="0" applyFont="1"/>
    <xf numFmtId="0" fontId="25" fillId="6" borderId="4" xfId="0" applyFont="1" applyFill="1" applyBorder="1"/>
    <xf numFmtId="49" fontId="25" fillId="0" borderId="4" xfId="0" applyNumberFormat="1" applyFont="1" applyBorder="1"/>
    <xf numFmtId="0" fontId="25" fillId="0" borderId="4" xfId="1" applyFont="1" applyBorder="1"/>
    <xf numFmtId="0" fontId="25" fillId="0" borderId="4" xfId="1" applyFont="1" applyBorder="1" applyAlignment="1">
      <alignment horizontal="left"/>
    </xf>
    <xf numFmtId="0" fontId="25" fillId="0" borderId="4" xfId="0" applyFont="1" applyBorder="1" applyAlignment="1">
      <alignment horizontal="left" vertical="center"/>
    </xf>
    <xf numFmtId="0" fontId="25" fillId="6" borderId="4" xfId="0" applyFont="1" applyFill="1" applyBorder="1" applyAlignment="1">
      <alignment horizontal="left" vertical="center"/>
    </xf>
    <xf numFmtId="0" fontId="25" fillId="0" borderId="4" xfId="0" applyFont="1" applyBorder="1" applyAlignment="1">
      <alignment horizontal="left"/>
    </xf>
    <xf numFmtId="0" fontId="25" fillId="4" borderId="4" xfId="0" applyFont="1" applyFill="1" applyBorder="1" applyAlignment="1">
      <alignment horizontal="left" vertical="center"/>
    </xf>
    <xf numFmtId="0" fontId="17" fillId="0" borderId="4" xfId="0" applyFont="1" applyBorder="1" applyAlignment="1">
      <alignment vertical="center"/>
    </xf>
    <xf numFmtId="0" fontId="17" fillId="0" borderId="4" xfId="0" applyFont="1" applyBorder="1" applyAlignment="1">
      <alignment horizontal="center" wrapText="1"/>
    </xf>
    <xf numFmtId="0" fontId="17" fillId="0" borderId="4"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0" xfId="0" applyFont="1" applyBorder="1" applyAlignment="1">
      <alignment horizontal="center" vertical="center"/>
    </xf>
    <xf numFmtId="0" fontId="28" fillId="0" borderId="4" xfId="0" applyFont="1" applyBorder="1" applyAlignment="1">
      <alignment horizontal="left" vertical="center"/>
    </xf>
    <xf numFmtId="0" fontId="28" fillId="0" borderId="13" xfId="0" applyFont="1" applyBorder="1" applyAlignment="1">
      <alignment horizontal="center" vertical="center"/>
    </xf>
    <xf numFmtId="2" fontId="28" fillId="0" borderId="0" xfId="0" applyNumberFormat="1" applyFont="1" applyAlignment="1">
      <alignment horizontal="center" vertical="center"/>
    </xf>
    <xf numFmtId="0" fontId="33" fillId="0" borderId="4" xfId="0" applyFont="1" applyBorder="1" applyAlignment="1">
      <alignment horizontal="left" vertical="center" wrapText="1"/>
    </xf>
    <xf numFmtId="0" fontId="33" fillId="0" borderId="4" xfId="0" applyFont="1" applyBorder="1" applyAlignment="1">
      <alignment horizontal="center" vertical="center" wrapText="1"/>
    </xf>
    <xf numFmtId="0" fontId="28" fillId="0" borderId="4" xfId="0" applyFont="1" applyBorder="1" applyAlignment="1">
      <alignment horizontal="left" vertical="center" wrapText="1"/>
    </xf>
    <xf numFmtId="10" fontId="28" fillId="0" borderId="4" xfId="0" applyNumberFormat="1" applyFont="1" applyBorder="1" applyAlignment="1">
      <alignment horizontal="center" vertical="center" wrapText="1"/>
    </xf>
    <xf numFmtId="0" fontId="32" fillId="0" borderId="4" xfId="0" applyFont="1" applyBorder="1" applyAlignment="1">
      <alignment horizontal="left" vertical="center" wrapText="1"/>
    </xf>
    <xf numFmtId="0" fontId="28" fillId="0" borderId="0" xfId="0" applyFont="1" applyAlignment="1">
      <alignment horizontal="left" vertical="center" wrapText="1"/>
    </xf>
    <xf numFmtId="0" fontId="31" fillId="0" borderId="4" xfId="0" applyFont="1" applyBorder="1" applyAlignment="1">
      <alignment horizontal="center" vertical="center" wrapText="1"/>
    </xf>
    <xf numFmtId="0" fontId="17" fillId="0" borderId="4" xfId="0" applyFont="1" applyBorder="1" applyAlignment="1">
      <alignment horizontal="left" vertical="center"/>
    </xf>
    <xf numFmtId="2" fontId="17" fillId="0" borderId="4" xfId="0" applyNumberFormat="1" applyFont="1" applyBorder="1" applyAlignment="1">
      <alignment horizontal="center"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17" fillId="0" borderId="10" xfId="0" applyFont="1" applyBorder="1" applyAlignment="1">
      <alignment horizontal="center"/>
    </xf>
    <xf numFmtId="0" fontId="17" fillId="0" borderId="11" xfId="0" applyFont="1" applyBorder="1" applyAlignment="1">
      <alignment horizontal="center" vertical="center"/>
    </xf>
    <xf numFmtId="0" fontId="17" fillId="0" borderId="11" xfId="0" applyFont="1" applyBorder="1" applyAlignment="1">
      <alignment horizontal="center"/>
    </xf>
    <xf numFmtId="0" fontId="17" fillId="0" borderId="12" xfId="0" applyFont="1" applyBorder="1" applyAlignment="1">
      <alignment horizontal="center" vertical="center"/>
    </xf>
    <xf numFmtId="0" fontId="17" fillId="0" borderId="12" xfId="0" applyFont="1" applyBorder="1" applyAlignment="1">
      <alignment horizontal="center"/>
    </xf>
    <xf numFmtId="0" fontId="17" fillId="0" borderId="13" xfId="0" applyFont="1" applyBorder="1" applyAlignment="1">
      <alignment horizontal="center"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49" fontId="17" fillId="0" borderId="12" xfId="0" applyNumberFormat="1" applyFont="1" applyBorder="1" applyAlignment="1">
      <alignment horizontal="center" vertical="center"/>
    </xf>
    <xf numFmtId="0" fontId="17" fillId="0" borderId="0" xfId="0" applyFont="1" applyAlignment="1">
      <alignment horizontal="left" vertical="center"/>
    </xf>
    <xf numFmtId="2" fontId="17" fillId="0" borderId="0" xfId="0" applyNumberFormat="1" applyFont="1" applyAlignment="1">
      <alignment horizontal="left" vertical="center"/>
    </xf>
    <xf numFmtId="2" fontId="17" fillId="0" borderId="0" xfId="0" applyNumberFormat="1" applyFont="1" applyAlignment="1">
      <alignment horizontal="center" vertical="center"/>
    </xf>
    <xf numFmtId="1" fontId="17" fillId="0" borderId="0" xfId="0" applyNumberFormat="1" applyFont="1" applyAlignment="1">
      <alignment horizontal="center" vertical="center"/>
    </xf>
    <xf numFmtId="0" fontId="17" fillId="0" borderId="0" xfId="0" applyFont="1" applyAlignment="1">
      <alignment vertical="center"/>
    </xf>
    <xf numFmtId="0" fontId="21" fillId="0" borderId="0" xfId="0" applyFont="1" applyAlignment="1">
      <alignment vertical="center" wrapText="1"/>
    </xf>
    <xf numFmtId="0" fontId="21" fillId="0" borderId="4" xfId="0" applyFont="1" applyBorder="1" applyAlignment="1">
      <alignment horizontal="left" vertical="center"/>
    </xf>
    <xf numFmtId="0" fontId="21" fillId="0" borderId="4" xfId="0" applyFont="1" applyBorder="1" applyAlignment="1">
      <alignment horizontal="center" vertical="center"/>
    </xf>
    <xf numFmtId="0" fontId="21" fillId="0" borderId="4" xfId="0" applyFont="1" applyBorder="1" applyAlignment="1">
      <alignment vertical="center"/>
    </xf>
    <xf numFmtId="2" fontId="17" fillId="0" borderId="4" xfId="0" applyNumberFormat="1" applyFont="1" applyBorder="1" applyAlignment="1">
      <alignment horizontal="center" vertical="center" wrapText="1"/>
    </xf>
    <xf numFmtId="1" fontId="17" fillId="0" borderId="4" xfId="0" applyNumberFormat="1" applyFont="1" applyBorder="1" applyAlignment="1">
      <alignment horizontal="center" wrapText="1"/>
    </xf>
    <xf numFmtId="1" fontId="17" fillId="0" borderId="4" xfId="0" applyNumberFormat="1" applyFont="1" applyBorder="1" applyAlignment="1">
      <alignment horizontal="center" vertical="center" wrapText="1"/>
    </xf>
    <xf numFmtId="0" fontId="17" fillId="0" borderId="0" xfId="0" applyFont="1" applyAlignment="1">
      <alignment horizontal="center" vertical="center" wrapText="1"/>
    </xf>
    <xf numFmtId="0" fontId="38" fillId="0" borderId="4" xfId="0" applyFont="1" applyBorder="1" applyAlignment="1">
      <alignment horizontal="center" vertical="center"/>
    </xf>
    <xf numFmtId="0" fontId="17" fillId="0" borderId="0" xfId="0" applyFont="1" applyAlignment="1">
      <alignment vertical="center" wrapText="1"/>
    </xf>
    <xf numFmtId="2" fontId="17" fillId="6" borderId="4" xfId="0" applyNumberFormat="1" applyFont="1" applyFill="1" applyBorder="1" applyAlignment="1">
      <alignment horizontal="center" vertical="center"/>
    </xf>
    <xf numFmtId="1" fontId="17" fillId="0" borderId="4" xfId="0" applyNumberFormat="1" applyFont="1" applyBorder="1" applyAlignment="1">
      <alignment horizontal="center"/>
    </xf>
    <xf numFmtId="2" fontId="17" fillId="6" borderId="4" xfId="0" applyNumberFormat="1" applyFont="1" applyFill="1" applyBorder="1" applyAlignment="1">
      <alignment horizontal="center"/>
    </xf>
    <xf numFmtId="0" fontId="17" fillId="5" borderId="4" xfId="0" applyFont="1" applyFill="1" applyBorder="1" applyAlignment="1">
      <alignment horizontal="center" vertical="center" wrapText="1"/>
    </xf>
    <xf numFmtId="2" fontId="17" fillId="0" borderId="0" xfId="0" applyNumberFormat="1" applyFont="1" applyAlignment="1">
      <alignment horizontal="center"/>
    </xf>
    <xf numFmtId="1" fontId="17" fillId="6" borderId="4" xfId="0" applyNumberFormat="1" applyFont="1" applyFill="1" applyBorder="1" applyAlignment="1">
      <alignment horizontal="center" wrapText="1"/>
    </xf>
    <xf numFmtId="2" fontId="17" fillId="4" borderId="4" xfId="0" applyNumberFormat="1" applyFont="1" applyFill="1" applyBorder="1" applyAlignment="1">
      <alignment horizontal="center"/>
    </xf>
    <xf numFmtId="0" fontId="17" fillId="0" borderId="4" xfId="0" applyFont="1" applyBorder="1" applyAlignment="1">
      <alignment horizontal="left" vertical="center" wrapText="1"/>
    </xf>
    <xf numFmtId="0" fontId="17" fillId="6" borderId="4" xfId="0" applyFont="1" applyFill="1" applyBorder="1" applyAlignment="1">
      <alignment horizontal="center"/>
    </xf>
    <xf numFmtId="2" fontId="17" fillId="6" borderId="4" xfId="0" applyNumberFormat="1" applyFont="1" applyFill="1" applyBorder="1" applyAlignment="1">
      <alignment horizontal="center" wrapText="1"/>
    </xf>
    <xf numFmtId="2" fontId="17" fillId="4" borderId="4" xfId="0" applyNumberFormat="1" applyFont="1" applyFill="1" applyBorder="1" applyAlignment="1">
      <alignment horizontal="center" wrapText="1"/>
    </xf>
    <xf numFmtId="0" fontId="17" fillId="6" borderId="4" xfId="0" applyFont="1" applyFill="1" applyBorder="1"/>
    <xf numFmtId="2" fontId="17" fillId="6" borderId="4" xfId="0" applyNumberFormat="1" applyFont="1" applyFill="1" applyBorder="1" applyAlignment="1">
      <alignment horizontal="center" vertical="center" wrapText="1"/>
    </xf>
    <xf numFmtId="0" fontId="17" fillId="6" borderId="4" xfId="0" applyFont="1" applyFill="1" applyBorder="1" applyAlignment="1">
      <alignment horizontal="center" wrapText="1"/>
    </xf>
    <xf numFmtId="2" fontId="17" fillId="0" borderId="0" xfId="0" applyNumberFormat="1" applyFont="1" applyAlignment="1">
      <alignment horizontal="center" wrapText="1"/>
    </xf>
    <xf numFmtId="1" fontId="17" fillId="6" borderId="4" xfId="0" applyNumberFormat="1" applyFont="1" applyFill="1" applyBorder="1" applyAlignment="1">
      <alignment horizontal="center"/>
    </xf>
    <xf numFmtId="0" fontId="17" fillId="5" borderId="4" xfId="0" applyFont="1" applyFill="1" applyBorder="1" applyAlignment="1">
      <alignment horizontal="center" vertical="center"/>
    </xf>
    <xf numFmtId="2" fontId="17" fillId="0" borderId="4" xfId="0" applyNumberFormat="1" applyFont="1" applyBorder="1" applyAlignment="1">
      <alignment horizontal="center"/>
    </xf>
    <xf numFmtId="2" fontId="17" fillId="3" borderId="4" xfId="0" applyNumberFormat="1" applyFont="1" applyFill="1" applyBorder="1" applyAlignment="1">
      <alignment horizontal="center" wrapText="1"/>
    </xf>
    <xf numFmtId="2" fontId="17" fillId="0" borderId="4" xfId="0" applyNumberFormat="1" applyFont="1" applyBorder="1" applyAlignment="1">
      <alignment horizontal="center" wrapText="1"/>
    </xf>
    <xf numFmtId="49" fontId="17" fillId="0" borderId="4" xfId="0" applyNumberFormat="1" applyFont="1" applyBorder="1"/>
    <xf numFmtId="0" fontId="24" fillId="0" borderId="4" xfId="0" applyFont="1" applyBorder="1" applyAlignment="1">
      <alignment horizontal="left" vertical="center" wrapText="1"/>
    </xf>
    <xf numFmtId="2" fontId="17" fillId="3" borderId="4" xfId="0" applyNumberFormat="1" applyFont="1" applyFill="1" applyBorder="1" applyAlignment="1">
      <alignment horizontal="center"/>
    </xf>
    <xf numFmtId="0" fontId="17" fillId="7" borderId="4" xfId="0" applyFont="1" applyFill="1" applyBorder="1"/>
    <xf numFmtId="0" fontId="17" fillId="0" borderId="4" xfId="1" applyFont="1" applyBorder="1"/>
    <xf numFmtId="0" fontId="17" fillId="0" borderId="4" xfId="1" applyFont="1" applyBorder="1" applyAlignment="1">
      <alignment horizontal="left"/>
    </xf>
    <xf numFmtId="0" fontId="17" fillId="3" borderId="4" xfId="0" applyFont="1" applyFill="1" applyBorder="1" applyAlignment="1">
      <alignment horizontal="left"/>
    </xf>
    <xf numFmtId="0" fontId="17" fillId="4" borderId="4" xfId="0" applyFont="1" applyFill="1" applyBorder="1" applyAlignment="1">
      <alignment horizontal="left" vertical="center"/>
    </xf>
    <xf numFmtId="164" fontId="17" fillId="0" borderId="4" xfId="0" applyNumberFormat="1" applyFont="1" applyBorder="1" applyAlignment="1">
      <alignment horizontal="center" vertical="center"/>
    </xf>
    <xf numFmtId="0" fontId="17" fillId="6" borderId="4" xfId="0" applyFont="1" applyFill="1" applyBorder="1" applyAlignment="1">
      <alignment horizontal="left" vertical="center"/>
    </xf>
    <xf numFmtId="0" fontId="17" fillId="6" borderId="4" xfId="0" applyFont="1" applyFill="1" applyBorder="1" applyAlignment="1">
      <alignment horizontal="center" vertical="center" wrapText="1"/>
    </xf>
    <xf numFmtId="1" fontId="17" fillId="4" borderId="4" xfId="0" applyNumberFormat="1" applyFont="1" applyFill="1" applyBorder="1" applyAlignment="1">
      <alignment horizontal="center"/>
    </xf>
    <xf numFmtId="1" fontId="17" fillId="3" borderId="4" xfId="0" applyNumberFormat="1" applyFont="1" applyFill="1" applyBorder="1" applyAlignment="1">
      <alignment horizontal="center"/>
    </xf>
    <xf numFmtId="0" fontId="24" fillId="0" borderId="0" xfId="0" applyFont="1" applyAlignment="1">
      <alignment horizontal="center" vertical="center"/>
    </xf>
    <xf numFmtId="0" fontId="24" fillId="0" borderId="0" xfId="0" applyFont="1"/>
    <xf numFmtId="0" fontId="24" fillId="0" borderId="0" xfId="0" applyFont="1" applyAlignment="1">
      <alignment horizontal="left" vertical="center"/>
    </xf>
    <xf numFmtId="1" fontId="21" fillId="0" borderId="0" xfId="0" applyNumberFormat="1" applyFont="1" applyAlignment="1">
      <alignment vertical="center" wrapText="1"/>
    </xf>
    <xf numFmtId="2" fontId="21" fillId="0" borderId="0" xfId="0" applyNumberFormat="1" applyFont="1" applyAlignment="1">
      <alignment vertical="center" wrapText="1"/>
    </xf>
    <xf numFmtId="1" fontId="17" fillId="0" borderId="4" xfId="0" applyNumberFormat="1" applyFont="1" applyBorder="1" applyAlignment="1">
      <alignment horizontal="center" vertical="center"/>
    </xf>
    <xf numFmtId="16" fontId="17" fillId="0" borderId="0" xfId="0" applyNumberFormat="1" applyFont="1" applyAlignment="1">
      <alignment horizontal="center" vertical="center"/>
    </xf>
    <xf numFmtId="2" fontId="21" fillId="0" borderId="0" xfId="0" applyNumberFormat="1" applyFont="1" applyAlignment="1">
      <alignment horizontal="center" vertical="center"/>
    </xf>
    <xf numFmtId="0" fontId="21" fillId="0" borderId="0" xfId="0" applyFont="1" applyAlignment="1">
      <alignment vertical="center"/>
    </xf>
    <xf numFmtId="10" fontId="17" fillId="0" borderId="4" xfId="0" applyNumberFormat="1" applyFont="1" applyBorder="1" applyAlignment="1">
      <alignment horizontal="center" vertical="center"/>
    </xf>
    <xf numFmtId="10" fontId="17" fillId="0" borderId="0" xfId="0" applyNumberFormat="1" applyFont="1" applyAlignment="1">
      <alignment horizontal="center" vertical="center"/>
    </xf>
    <xf numFmtId="10" fontId="21" fillId="0" borderId="4" xfId="0" applyNumberFormat="1" applyFont="1" applyBorder="1" applyAlignment="1">
      <alignment vertical="center"/>
    </xf>
    <xf numFmtId="2" fontId="21" fillId="0" borderId="0" xfId="0" applyNumberFormat="1" applyFont="1" applyAlignment="1">
      <alignment vertical="center"/>
    </xf>
    <xf numFmtId="10" fontId="17" fillId="0" borderId="4" xfId="0" applyNumberFormat="1" applyFont="1" applyBorder="1" applyAlignment="1">
      <alignment horizontal="center" vertical="center" wrapText="1"/>
    </xf>
    <xf numFmtId="2" fontId="17" fillId="0" borderId="0" xfId="0" applyNumberFormat="1" applyFont="1" applyAlignment="1">
      <alignment horizontal="center" vertical="center" wrapText="1"/>
    </xf>
    <xf numFmtId="10" fontId="17" fillId="0" borderId="0" xfId="0" applyNumberFormat="1" applyFont="1" applyAlignment="1">
      <alignment horizontal="center" vertical="center" wrapText="1"/>
    </xf>
    <xf numFmtId="0" fontId="24" fillId="2" borderId="4" xfId="0" applyFont="1" applyFill="1" applyBorder="1" applyAlignment="1">
      <alignment vertical="center" wrapText="1"/>
    </xf>
    <xf numFmtId="1" fontId="17" fillId="0" borderId="0" xfId="0" applyNumberFormat="1" applyFont="1" applyAlignment="1">
      <alignment horizontal="center" vertical="center" wrapText="1"/>
    </xf>
    <xf numFmtId="2" fontId="17" fillId="0" borderId="6" xfId="0" applyNumberFormat="1" applyFont="1" applyBorder="1" applyAlignment="1">
      <alignment horizontal="center" vertical="center" wrapText="1"/>
    </xf>
    <xf numFmtId="1" fontId="17" fillId="0" borderId="6" xfId="0" applyNumberFormat="1" applyFont="1" applyBorder="1" applyAlignment="1">
      <alignment horizontal="center" vertical="center" wrapText="1"/>
    </xf>
    <xf numFmtId="2" fontId="17" fillId="0" borderId="7" xfId="0" applyNumberFormat="1" applyFont="1" applyBorder="1" applyAlignment="1">
      <alignment horizontal="center" vertical="center" wrapText="1"/>
    </xf>
    <xf numFmtId="1" fontId="17" fillId="0" borderId="7" xfId="0" applyNumberFormat="1" applyFont="1" applyBorder="1" applyAlignment="1">
      <alignment horizontal="center" vertical="center" wrapText="1"/>
    </xf>
    <xf numFmtId="0" fontId="36" fillId="0" borderId="0" xfId="0" applyFont="1" applyAlignment="1">
      <alignment vertical="center" wrapText="1"/>
    </xf>
    <xf numFmtId="0" fontId="29" fillId="0" borderId="0" xfId="0" applyFont="1" applyAlignment="1">
      <alignment vertical="center" wrapText="1"/>
    </xf>
    <xf numFmtId="0" fontId="21" fillId="0" borderId="5" xfId="0" applyFont="1" applyBorder="1" applyAlignment="1">
      <alignment horizontal="center" vertical="center" wrapText="1"/>
    </xf>
    <xf numFmtId="0" fontId="21" fillId="0" borderId="5" xfId="0" applyFont="1" applyBorder="1" applyAlignment="1">
      <alignment horizontal="left" vertical="center" wrapText="1"/>
    </xf>
    <xf numFmtId="0" fontId="38" fillId="0" borderId="5" xfId="0" applyFont="1" applyBorder="1" applyAlignment="1">
      <alignment horizontal="center" vertical="center" wrapText="1"/>
    </xf>
    <xf numFmtId="0" fontId="21" fillId="0" borderId="5" xfId="0" applyFont="1" applyBorder="1" applyAlignment="1">
      <alignment vertical="center" wrapText="1"/>
    </xf>
    <xf numFmtId="49" fontId="41" fillId="0" borderId="22" xfId="0" applyNumberFormat="1" applyFont="1" applyBorder="1" applyAlignment="1">
      <alignment horizontal="center" vertical="center" wrapText="1"/>
    </xf>
    <xf numFmtId="0" fontId="28" fillId="0" borderId="22" xfId="0" applyFont="1" applyBorder="1"/>
    <xf numFmtId="0" fontId="4" fillId="0" borderId="0" xfId="0" applyFont="1" applyAlignment="1">
      <alignment vertical="center"/>
    </xf>
    <xf numFmtId="0" fontId="7" fillId="0" borderId="0" xfId="0" applyFont="1" applyAlignment="1">
      <alignment vertical="center"/>
    </xf>
    <xf numFmtId="0" fontId="25" fillId="0" borderId="0" xfId="0" applyFont="1" applyAlignment="1">
      <alignment horizontal="left"/>
    </xf>
    <xf numFmtId="0" fontId="25" fillId="0" borderId="4" xfId="0" applyFont="1" applyBorder="1" applyAlignment="1">
      <alignment vertical="center"/>
    </xf>
    <xf numFmtId="0" fontId="37" fillId="0" borderId="0" xfId="0" applyFont="1" applyAlignment="1">
      <alignment horizontal="left" vertical="center"/>
    </xf>
    <xf numFmtId="0" fontId="25" fillId="7" borderId="4" xfId="0" applyFont="1" applyFill="1" applyBorder="1" applyAlignment="1">
      <alignment horizontal="left" vertical="center"/>
    </xf>
    <xf numFmtId="0" fontId="25" fillId="3" borderId="4" xfId="0" applyFont="1" applyFill="1" applyBorder="1" applyAlignment="1">
      <alignment horizontal="left" vertical="center"/>
    </xf>
    <xf numFmtId="0" fontId="25" fillId="0" borderId="0" xfId="0" applyFont="1" applyAlignment="1">
      <alignment horizontal="left" vertical="center"/>
    </xf>
    <xf numFmtId="2" fontId="13" fillId="0" borderId="0" xfId="0" quotePrefix="1" applyNumberFormat="1" applyFont="1" applyAlignment="1">
      <alignment horizontal="center" vertical="center"/>
    </xf>
    <xf numFmtId="0" fontId="28" fillId="0" borderId="1" xfId="0" applyFont="1" applyBorder="1" applyAlignment="1">
      <alignment horizontal="center" vertical="center" wrapText="1"/>
    </xf>
    <xf numFmtId="0" fontId="4" fillId="3" borderId="4" xfId="0" applyFont="1" applyFill="1" applyBorder="1" applyAlignment="1">
      <alignment horizontal="center"/>
    </xf>
    <xf numFmtId="0" fontId="42" fillId="0" borderId="0" xfId="0" applyFont="1" applyAlignment="1">
      <alignment horizontal="center" vertical="center"/>
    </xf>
    <xf numFmtId="0" fontId="17" fillId="0" borderId="22" xfId="0" applyFont="1" applyBorder="1" applyAlignment="1">
      <alignment horizontal="center" vertical="center"/>
    </xf>
    <xf numFmtId="0" fontId="17" fillId="0" borderId="22" xfId="0" applyFont="1" applyBorder="1"/>
    <xf numFmtId="2" fontId="13" fillId="0" borderId="22" xfId="0" quotePrefix="1" applyNumberFormat="1" applyFont="1" applyBorder="1" applyAlignment="1">
      <alignment horizontal="center" vertical="center"/>
    </xf>
    <xf numFmtId="165" fontId="28" fillId="0" borderId="4" xfId="0" applyNumberFormat="1" applyFont="1" applyBorder="1" applyAlignment="1">
      <alignment horizontal="center"/>
    </xf>
    <xf numFmtId="165" fontId="4" fillId="0" borderId="0" xfId="0" applyNumberFormat="1" applyFont="1"/>
    <xf numFmtId="165" fontId="9" fillId="0" borderId="0" xfId="0" applyNumberFormat="1" applyFont="1" applyAlignment="1">
      <alignment horizontal="center"/>
    </xf>
    <xf numFmtId="0" fontId="44" fillId="0" borderId="0" xfId="0" applyFont="1" applyAlignment="1">
      <alignment horizontal="left"/>
    </xf>
    <xf numFmtId="0" fontId="12" fillId="0" borderId="0" xfId="0" applyFont="1" applyAlignment="1">
      <alignment horizontal="left" vertical="center" wrapText="1"/>
    </xf>
    <xf numFmtId="0" fontId="29" fillId="0" borderId="22" xfId="0" applyFont="1" applyBorder="1" applyAlignment="1">
      <alignment horizontal="left" vertical="center"/>
    </xf>
    <xf numFmtId="0" fontId="28" fillId="0" borderId="22" xfId="0" applyFont="1" applyBorder="1" applyAlignment="1">
      <alignment horizontal="left" vertical="center"/>
    </xf>
    <xf numFmtId="0" fontId="28" fillId="0" borderId="22" xfId="0" applyFont="1" applyBorder="1" applyAlignment="1">
      <alignment wrapText="1"/>
    </xf>
    <xf numFmtId="0" fontId="28" fillId="0" borderId="22" xfId="0" applyFont="1" applyBorder="1" applyAlignment="1">
      <alignment horizontal="left"/>
    </xf>
    <xf numFmtId="0" fontId="28" fillId="0" borderId="2" xfId="0" applyFont="1" applyBorder="1" applyAlignment="1">
      <alignment horizontal="left"/>
    </xf>
    <xf numFmtId="0" fontId="28" fillId="0" borderId="15" xfId="0" applyFont="1" applyBorder="1" applyAlignment="1">
      <alignment horizontal="left"/>
    </xf>
    <xf numFmtId="0" fontId="28" fillId="0" borderId="3" xfId="0" applyFont="1" applyBorder="1" applyAlignment="1">
      <alignment horizontal="left"/>
    </xf>
    <xf numFmtId="0" fontId="29" fillId="0" borderId="22" xfId="0" applyFont="1" applyBorder="1" applyAlignment="1">
      <alignment horizontal="center" vertical="center" wrapText="1"/>
    </xf>
    <xf numFmtId="0" fontId="29" fillId="0" borderId="22" xfId="0" applyFont="1" applyBorder="1" applyAlignment="1">
      <alignment horizontal="left" vertical="center" wrapText="1"/>
    </xf>
    <xf numFmtId="0" fontId="28" fillId="0" borderId="22" xfId="0" applyFont="1" applyBorder="1" applyAlignment="1">
      <alignment horizontal="left" vertical="center" wrapText="1"/>
    </xf>
    <xf numFmtId="0" fontId="29" fillId="0" borderId="22" xfId="0" applyFont="1" applyBorder="1" applyAlignment="1">
      <alignment horizontal="left"/>
    </xf>
    <xf numFmtId="0" fontId="32" fillId="0" borderId="22" xfId="0" applyFont="1" applyBorder="1" applyAlignment="1">
      <alignment horizontal="left"/>
    </xf>
    <xf numFmtId="0" fontId="9" fillId="0" borderId="22" xfId="0" applyFont="1" applyBorder="1" applyAlignment="1">
      <alignment horizontal="left"/>
    </xf>
    <xf numFmtId="0" fontId="32" fillId="0" borderId="22" xfId="0" applyFont="1" applyBorder="1" applyAlignment="1">
      <alignment horizontal="left" vertical="center" wrapText="1"/>
    </xf>
    <xf numFmtId="0" fontId="45" fillId="0" borderId="0" xfId="0" applyFont="1"/>
    <xf numFmtId="0" fontId="39" fillId="0" borderId="2" xfId="0" applyFont="1" applyBorder="1"/>
    <xf numFmtId="0" fontId="39" fillId="0" borderId="0" xfId="0" applyFont="1"/>
    <xf numFmtId="0" fontId="48" fillId="0" borderId="0" xfId="0" applyFont="1" applyAlignment="1">
      <alignment vertical="top"/>
    </xf>
    <xf numFmtId="0" fontId="28" fillId="0" borderId="0" xfId="0" applyFont="1" applyAlignment="1">
      <alignment vertical="top"/>
    </xf>
    <xf numFmtId="2" fontId="28" fillId="0" borderId="0" xfId="0" applyNumberFormat="1" applyFont="1" applyAlignment="1">
      <alignment horizontal="left"/>
    </xf>
    <xf numFmtId="0" fontId="28" fillId="3" borderId="4" xfId="0" applyFont="1" applyFill="1" applyBorder="1" applyAlignment="1">
      <alignment horizontal="center" vertical="center"/>
    </xf>
    <xf numFmtId="0" fontId="28" fillId="0" borderId="18" xfId="0" applyFont="1" applyBorder="1" applyAlignment="1">
      <alignment horizontal="center" vertical="center"/>
    </xf>
    <xf numFmtId="0" fontId="17" fillId="0" borderId="22" xfId="0" applyFont="1" applyBorder="1" applyAlignment="1">
      <alignment horizontal="left"/>
    </xf>
    <xf numFmtId="0" fontId="17" fillId="0" borderId="22" xfId="0" applyFont="1" applyBorder="1" applyAlignment="1">
      <alignment horizontal="center"/>
    </xf>
    <xf numFmtId="0" fontId="21" fillId="0" borderId="22" xfId="0" applyFont="1" applyBorder="1"/>
    <xf numFmtId="0" fontId="21" fillId="0" borderId="22" xfId="0" applyFont="1" applyBorder="1" applyAlignment="1">
      <alignment horizontal="left"/>
    </xf>
    <xf numFmtId="0" fontId="21" fillId="0" borderId="22" xfId="0" applyFont="1" applyBorder="1" applyAlignment="1">
      <alignment horizontal="center"/>
    </xf>
    <xf numFmtId="0" fontId="38" fillId="0" borderId="22" xfId="0" applyFont="1" applyBorder="1" applyAlignment="1">
      <alignment horizontal="left"/>
    </xf>
    <xf numFmtId="0" fontId="21" fillId="0" borderId="22" xfId="0" applyFont="1" applyBorder="1" applyAlignment="1">
      <alignment horizontal="center" vertical="center"/>
    </xf>
    <xf numFmtId="0" fontId="3" fillId="0" borderId="0" xfId="0" applyFont="1" applyAlignment="1">
      <alignment horizontal="center" wrapText="1"/>
    </xf>
    <xf numFmtId="10" fontId="4" fillId="0" borderId="0" xfId="0" applyNumberFormat="1" applyFont="1"/>
    <xf numFmtId="0" fontId="50" fillId="0" borderId="22" xfId="0" applyFont="1" applyBorder="1" applyAlignment="1">
      <alignment horizontal="left"/>
    </xf>
    <xf numFmtId="0" fontId="50" fillId="0" borderId="22" xfId="0" applyFont="1" applyBorder="1"/>
    <xf numFmtId="2" fontId="28" fillId="0" borderId="10" xfId="0" applyNumberFormat="1" applyFont="1" applyBorder="1" applyAlignment="1">
      <alignment horizontal="center" vertical="center"/>
    </xf>
    <xf numFmtId="2" fontId="28" fillId="0" borderId="0" xfId="0" applyNumberFormat="1" applyFont="1" applyAlignment="1">
      <alignment vertical="center"/>
    </xf>
    <xf numFmtId="2" fontId="43" fillId="0" borderId="22" xfId="0" applyNumberFormat="1" applyFont="1" applyBorder="1" applyAlignment="1">
      <alignment horizontal="center" vertical="center"/>
    </xf>
    <xf numFmtId="2" fontId="28" fillId="0" borderId="22" xfId="0" applyNumberFormat="1" applyFont="1" applyBorder="1" applyAlignment="1">
      <alignment vertical="center"/>
    </xf>
    <xf numFmtId="2" fontId="28" fillId="0" borderId="22" xfId="0" applyNumberFormat="1" applyFont="1" applyBorder="1" applyAlignment="1">
      <alignment horizontal="center" vertical="center"/>
    </xf>
    <xf numFmtId="2" fontId="28" fillId="0" borderId="22" xfId="0" applyNumberFormat="1" applyFont="1" applyBorder="1"/>
    <xf numFmtId="2" fontId="28" fillId="0" borderId="10" xfId="0" applyNumberFormat="1" applyFont="1" applyBorder="1" applyAlignment="1">
      <alignment horizontal="center"/>
    </xf>
    <xf numFmtId="2" fontId="28" fillId="0" borderId="11" xfId="0" applyNumberFormat="1" applyFont="1" applyBorder="1" applyAlignment="1">
      <alignment horizontal="center"/>
    </xf>
    <xf numFmtId="2" fontId="28" fillId="0" borderId="12" xfId="0" applyNumberFormat="1" applyFont="1" applyBorder="1" applyAlignment="1">
      <alignment horizontal="center"/>
    </xf>
    <xf numFmtId="2" fontId="43" fillId="0" borderId="0" xfId="0" applyNumberFormat="1" applyFont="1" applyAlignment="1">
      <alignment horizontal="left" vertical="center"/>
    </xf>
    <xf numFmtId="2" fontId="28" fillId="5" borderId="10" xfId="0" applyNumberFormat="1" applyFont="1" applyFill="1" applyBorder="1" applyAlignment="1">
      <alignment horizontal="center" vertical="center"/>
    </xf>
    <xf numFmtId="2" fontId="28" fillId="0" borderId="0" xfId="0" applyNumberFormat="1" applyFont="1" applyAlignment="1">
      <alignment horizontal="center"/>
    </xf>
    <xf numFmtId="2" fontId="28" fillId="0" borderId="4" xfId="0" applyNumberFormat="1" applyFont="1" applyBorder="1" applyAlignment="1">
      <alignment horizontal="center" vertical="center"/>
    </xf>
    <xf numFmtId="2" fontId="28" fillId="6" borderId="11" xfId="0" applyNumberFormat="1" applyFont="1" applyFill="1" applyBorder="1" applyAlignment="1">
      <alignment horizontal="center"/>
    </xf>
    <xf numFmtId="2" fontId="28" fillId="0" borderId="16" xfId="0" applyNumberFormat="1" applyFont="1" applyBorder="1" applyAlignment="1">
      <alignment horizontal="center"/>
    </xf>
    <xf numFmtId="2" fontId="28" fillId="0" borderId="14" xfId="0" applyNumberFormat="1" applyFont="1" applyBorder="1" applyAlignment="1">
      <alignment horizontal="center" vertical="center"/>
    </xf>
    <xf numFmtId="2" fontId="28" fillId="0" borderId="4" xfId="0" applyNumberFormat="1" applyFont="1" applyBorder="1" applyAlignment="1">
      <alignment horizontal="center"/>
    </xf>
    <xf numFmtId="2" fontId="28" fillId="0" borderId="0" xfId="0" applyNumberFormat="1" applyFont="1"/>
    <xf numFmtId="2" fontId="28" fillId="0" borderId="1" xfId="0" applyNumberFormat="1" applyFont="1" applyBorder="1" applyAlignment="1">
      <alignment horizontal="center"/>
    </xf>
    <xf numFmtId="2" fontId="28" fillId="0" borderId="18" xfId="0" applyNumberFormat="1" applyFont="1" applyBorder="1" applyAlignment="1">
      <alignment horizontal="center" vertical="center"/>
    </xf>
    <xf numFmtId="0" fontId="33" fillId="0" borderId="0" xfId="0" applyFont="1" applyAlignment="1">
      <alignment horizontal="center"/>
    </xf>
    <xf numFmtId="165" fontId="28" fillId="0" borderId="0" xfId="0" applyNumberFormat="1" applyFont="1" applyAlignment="1">
      <alignment horizontal="left"/>
    </xf>
    <xf numFmtId="0" fontId="28" fillId="0" borderId="0" xfId="0" applyFont="1" applyAlignment="1">
      <alignment horizontal="left"/>
    </xf>
    <xf numFmtId="2" fontId="28" fillId="0" borderId="0" xfId="0" applyNumberFormat="1" applyFont="1" applyAlignment="1">
      <alignment horizontal="left" vertical="top" wrapText="1"/>
    </xf>
    <xf numFmtId="2" fontId="17" fillId="0" borderId="0" xfId="0" applyNumberFormat="1" applyFont="1" applyAlignment="1">
      <alignment horizontal="left"/>
    </xf>
    <xf numFmtId="165" fontId="28" fillId="0" borderId="18" xfId="0" applyNumberFormat="1" applyFont="1" applyBorder="1" applyAlignment="1">
      <alignment horizontal="center" vertical="center"/>
    </xf>
    <xf numFmtId="2" fontId="29" fillId="0" borderId="22" xfId="0" applyNumberFormat="1" applyFont="1" applyBorder="1" applyAlignment="1">
      <alignment horizontal="center"/>
    </xf>
    <xf numFmtId="165" fontId="29" fillId="0" borderId="22" xfId="0" applyNumberFormat="1" applyFont="1" applyBorder="1" applyAlignment="1">
      <alignment horizontal="center"/>
    </xf>
    <xf numFmtId="165" fontId="4" fillId="0" borderId="0" xfId="0" applyNumberFormat="1" applyFont="1" applyBorder="1"/>
    <xf numFmtId="0" fontId="17" fillId="0" borderId="0" xfId="0" applyFont="1" applyBorder="1"/>
    <xf numFmtId="0" fontId="17" fillId="0" borderId="0" xfId="0" applyFont="1" applyBorder="1" applyAlignment="1">
      <alignment horizontal="center"/>
    </xf>
    <xf numFmtId="0" fontId="17" fillId="0" borderId="0" xfId="0" applyFont="1" applyBorder="1" applyAlignment="1">
      <alignment horizontal="left"/>
    </xf>
    <xf numFmtId="2" fontId="29" fillId="0" borderId="4" xfId="0" applyNumberFormat="1" applyFont="1" applyBorder="1" applyAlignment="1">
      <alignment horizontal="center"/>
    </xf>
    <xf numFmtId="164" fontId="29" fillId="0" borderId="22" xfId="0" applyNumberFormat="1" applyFont="1" applyBorder="1" applyAlignment="1">
      <alignment horizontal="center"/>
    </xf>
    <xf numFmtId="164" fontId="28" fillId="0" borderId="22" xfId="0" applyNumberFormat="1" applyFont="1" applyBorder="1" applyAlignment="1">
      <alignment horizontal="center"/>
    </xf>
    <xf numFmtId="164" fontId="21" fillId="0" borderId="15" xfId="0" applyNumberFormat="1" applyFont="1" applyBorder="1" applyAlignment="1">
      <alignment horizontal="center"/>
    </xf>
    <xf numFmtId="165" fontId="28" fillId="0" borderId="22" xfId="0" applyNumberFormat="1" applyFont="1" applyBorder="1" applyAlignment="1">
      <alignment horizontal="center"/>
    </xf>
    <xf numFmtId="0" fontId="28" fillId="0" borderId="22" xfId="0" applyFont="1" applyBorder="1" applyAlignment="1">
      <alignment horizontal="center"/>
    </xf>
    <xf numFmtId="165" fontId="28" fillId="0" borderId="2" xfId="0" applyNumberFormat="1" applyFont="1" applyBorder="1" applyAlignment="1">
      <alignment horizontal="center"/>
    </xf>
    <xf numFmtId="165" fontId="28" fillId="0" borderId="26" xfId="0" applyNumberFormat="1" applyFont="1" applyBorder="1" applyAlignment="1">
      <alignment horizontal="center" vertical="center"/>
    </xf>
    <xf numFmtId="2" fontId="29" fillId="0" borderId="2" xfId="0" applyNumberFormat="1" applyFont="1" applyBorder="1" applyAlignment="1">
      <alignment horizontal="center"/>
    </xf>
    <xf numFmtId="164" fontId="29" fillId="0" borderId="2" xfId="0" applyNumberFormat="1" applyFont="1" applyBorder="1" applyAlignment="1">
      <alignment horizontal="center"/>
    </xf>
    <xf numFmtId="165" fontId="28" fillId="0" borderId="1" xfId="0" applyNumberFormat="1" applyFont="1" applyBorder="1" applyAlignment="1">
      <alignment horizontal="center"/>
    </xf>
    <xf numFmtId="165" fontId="28" fillId="0" borderId="1" xfId="0" applyNumberFormat="1" applyFont="1" applyBorder="1" applyAlignment="1">
      <alignment horizontal="center" vertical="center"/>
    </xf>
    <xf numFmtId="164" fontId="29" fillId="0" borderId="4" xfId="0" applyNumberFormat="1" applyFont="1" applyBorder="1" applyAlignment="1">
      <alignment horizontal="center"/>
    </xf>
    <xf numFmtId="164" fontId="28" fillId="0" borderId="4" xfId="0" applyNumberFormat="1" applyFont="1" applyBorder="1" applyAlignment="1">
      <alignment horizontal="center"/>
    </xf>
    <xf numFmtId="0" fontId="28" fillId="0" borderId="1" xfId="0" applyFont="1" applyBorder="1" applyAlignment="1">
      <alignment horizontal="left" vertical="center" wrapText="1"/>
    </xf>
    <xf numFmtId="10" fontId="28" fillId="0" borderId="1" xfId="0" applyNumberFormat="1" applyFont="1" applyBorder="1" applyAlignment="1">
      <alignment horizontal="center" vertical="center" wrapText="1"/>
    </xf>
    <xf numFmtId="0" fontId="33" fillId="0" borderId="5" xfId="0" applyFont="1" applyBorder="1" applyAlignment="1">
      <alignment horizontal="left" vertical="center" wrapText="1"/>
    </xf>
    <xf numFmtId="0" fontId="17" fillId="0" borderId="5" xfId="0" applyFont="1" applyBorder="1"/>
    <xf numFmtId="0" fontId="28" fillId="0" borderId="5" xfId="0" applyFont="1" applyBorder="1" applyAlignment="1">
      <alignment horizontal="center" vertical="center" wrapText="1"/>
    </xf>
    <xf numFmtId="0" fontId="28" fillId="0" borderId="5" xfId="0" applyFont="1" applyBorder="1" applyAlignment="1">
      <alignment horizontal="center" vertical="center"/>
    </xf>
    <xf numFmtId="0" fontId="28" fillId="2" borderId="4" xfId="0" applyFont="1" applyFill="1" applyBorder="1" applyAlignment="1">
      <alignment vertical="center" wrapText="1"/>
    </xf>
    <xf numFmtId="0" fontId="28" fillId="2" borderId="4" xfId="0" applyFont="1" applyFill="1" applyBorder="1" applyAlignment="1">
      <alignment horizontal="center" vertical="center" wrapText="1"/>
    </xf>
    <xf numFmtId="0" fontId="38" fillId="0" borderId="4" xfId="0" applyFont="1" applyBorder="1" applyAlignment="1">
      <alignment horizontal="left" vertical="center"/>
    </xf>
    <xf numFmtId="0" fontId="28" fillId="0" borderId="4" xfId="0" applyFont="1" applyBorder="1"/>
    <xf numFmtId="0" fontId="28" fillId="0" borderId="0" xfId="0" applyNumberFormat="1" applyFont="1" applyAlignment="1">
      <alignment horizontal="center" vertical="center"/>
    </xf>
    <xf numFmtId="10" fontId="42" fillId="0" borderId="0" xfId="0" applyNumberFormat="1" applyFont="1" applyAlignment="1">
      <alignment horizontal="center" vertical="center"/>
    </xf>
    <xf numFmtId="10" fontId="28" fillId="0" borderId="0" xfId="0" applyNumberFormat="1" applyFont="1"/>
    <xf numFmtId="2" fontId="28" fillId="0" borderId="22" xfId="0" applyNumberFormat="1" applyFont="1" applyBorder="1" applyAlignment="1">
      <alignment horizontal="center"/>
    </xf>
    <xf numFmtId="10" fontId="28" fillId="0" borderId="22" xfId="0" applyNumberFormat="1" applyFont="1" applyBorder="1" applyAlignment="1">
      <alignment horizontal="center" vertical="center"/>
    </xf>
    <xf numFmtId="0" fontId="4" fillId="0" borderId="0" xfId="0" applyNumberFormat="1" applyFont="1"/>
    <xf numFmtId="0" fontId="43" fillId="0" borderId="22" xfId="0" applyNumberFormat="1" applyFont="1" applyBorder="1" applyAlignment="1">
      <alignment horizontal="center" vertical="center"/>
    </xf>
    <xf numFmtId="0" fontId="28" fillId="0" borderId="22" xfId="0" applyNumberFormat="1" applyFont="1" applyBorder="1" applyAlignment="1">
      <alignment horizontal="center"/>
    </xf>
    <xf numFmtId="0" fontId="28" fillId="0" borderId="22" xfId="0" applyNumberFormat="1" applyFont="1" applyFill="1" applyBorder="1" applyAlignment="1">
      <alignment horizontal="center"/>
    </xf>
    <xf numFmtId="0" fontId="7" fillId="0" borderId="8" xfId="0" applyNumberFormat="1" applyFont="1" applyBorder="1"/>
    <xf numFmtId="0" fontId="28" fillId="0" borderId="4" xfId="0" applyNumberFormat="1" applyFont="1" applyBorder="1" applyAlignment="1">
      <alignment horizontal="center" vertical="center" wrapText="1"/>
    </xf>
    <xf numFmtId="0" fontId="28" fillId="0" borderId="1" xfId="0" applyNumberFormat="1" applyFont="1" applyBorder="1" applyAlignment="1">
      <alignment horizontal="center" vertical="center" wrapText="1"/>
    </xf>
    <xf numFmtId="0" fontId="3" fillId="0" borderId="0" xfId="0" applyNumberFormat="1" applyFont="1" applyAlignment="1">
      <alignment vertical="center"/>
    </xf>
    <xf numFmtId="2" fontId="28" fillId="0" borderId="3" xfId="0" applyNumberFormat="1" applyFont="1" applyBorder="1" applyAlignment="1">
      <alignment horizontal="center"/>
    </xf>
    <xf numFmtId="2" fontId="28" fillId="0" borderId="20" xfId="0" applyNumberFormat="1" applyFont="1" applyBorder="1" applyAlignment="1">
      <alignment horizontal="center"/>
    </xf>
    <xf numFmtId="0" fontId="28" fillId="0" borderId="0" xfId="0" applyNumberFormat="1" applyFont="1"/>
    <xf numFmtId="0" fontId="28" fillId="0" borderId="0" xfId="0" applyFont="1" applyAlignment="1">
      <alignment vertical="center"/>
    </xf>
    <xf numFmtId="0" fontId="36" fillId="0" borderId="4" xfId="0" applyFont="1" applyBorder="1" applyAlignment="1">
      <alignment horizontal="center" vertical="center"/>
    </xf>
    <xf numFmtId="10" fontId="28" fillId="0" borderId="0" xfId="0" applyNumberFormat="1" applyFont="1" applyAlignment="1">
      <alignment vertical="center"/>
    </xf>
    <xf numFmtId="0" fontId="28" fillId="0" borderId="4" xfId="0" applyFont="1" applyBorder="1" applyAlignment="1">
      <alignment horizontal="center"/>
    </xf>
    <xf numFmtId="0" fontId="28" fillId="0" borderId="4" xfId="0" applyNumberFormat="1" applyFont="1" applyBorder="1"/>
    <xf numFmtId="0" fontId="28" fillId="0" borderId="22" xfId="0" applyFont="1" applyBorder="1" applyAlignment="1">
      <alignment horizontal="center" vertical="center"/>
    </xf>
    <xf numFmtId="0" fontId="29" fillId="0" borderId="4" xfId="0" applyFont="1" applyBorder="1" applyAlignment="1">
      <alignment horizontal="left"/>
    </xf>
    <xf numFmtId="0" fontId="29" fillId="0" borderId="4" xfId="0" applyNumberFormat="1" applyFont="1" applyBorder="1" applyAlignment="1">
      <alignment horizontal="left"/>
    </xf>
    <xf numFmtId="0" fontId="33" fillId="0" borderId="4" xfId="0" applyNumberFormat="1" applyFont="1" applyBorder="1" applyAlignment="1">
      <alignment horizontal="center" vertical="center"/>
    </xf>
    <xf numFmtId="0" fontId="28" fillId="3" borderId="4" xfId="0" applyFont="1" applyFill="1" applyBorder="1" applyAlignment="1">
      <alignment horizontal="left" vertical="center"/>
    </xf>
    <xf numFmtId="0" fontId="28" fillId="3" borderId="4" xfId="0" applyNumberFormat="1" applyFont="1" applyFill="1" applyBorder="1" applyAlignment="1">
      <alignment horizontal="center" vertical="center" wrapText="1"/>
    </xf>
    <xf numFmtId="10" fontId="28" fillId="3" borderId="4" xfId="0" applyNumberFormat="1"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0" borderId="4" xfId="0" applyNumberFormat="1" applyFont="1" applyBorder="1" applyAlignment="1">
      <alignment horizontal="center" vertical="center"/>
    </xf>
    <xf numFmtId="0" fontId="28" fillId="0" borderId="0" xfId="0" applyNumberFormat="1" applyFont="1" applyAlignment="1">
      <alignment horizontal="left" vertical="center"/>
    </xf>
    <xf numFmtId="164" fontId="28" fillId="0" borderId="0" xfId="0" applyNumberFormat="1" applyFont="1" applyAlignment="1">
      <alignment horizontal="center"/>
    </xf>
    <xf numFmtId="10" fontId="28" fillId="0" borderId="22" xfId="0" applyNumberFormat="1" applyFont="1" applyBorder="1"/>
    <xf numFmtId="10" fontId="28" fillId="0" borderId="4" xfId="0" applyNumberFormat="1" applyFont="1" applyBorder="1" applyAlignment="1">
      <alignment horizontal="left"/>
    </xf>
    <xf numFmtId="10" fontId="28" fillId="0" borderId="4" xfId="0" applyNumberFormat="1" applyFont="1" applyBorder="1" applyAlignment="1">
      <alignment horizontal="center"/>
    </xf>
    <xf numFmtId="10" fontId="28" fillId="0" borderId="4" xfId="0" applyNumberFormat="1" applyFont="1" applyBorder="1" applyAlignment="1">
      <alignment horizontal="center" vertical="center"/>
    </xf>
    <xf numFmtId="0" fontId="28" fillId="0" borderId="0" xfId="0" applyFont="1" applyFill="1" applyBorder="1"/>
    <xf numFmtId="10" fontId="36" fillId="0" borderId="0" xfId="0" applyNumberFormat="1" applyFont="1" applyFill="1" applyBorder="1" applyAlignment="1">
      <alignment vertical="center" wrapText="1"/>
    </xf>
    <xf numFmtId="0" fontId="29" fillId="0" borderId="0" xfId="0" applyFont="1" applyFill="1" applyBorder="1" applyAlignment="1">
      <alignment wrapText="1"/>
    </xf>
    <xf numFmtId="0" fontId="28" fillId="0" borderId="22" xfId="0" applyFont="1" applyBorder="1" applyAlignment="1">
      <alignment horizontal="center" vertical="center" wrapText="1"/>
    </xf>
    <xf numFmtId="0" fontId="29" fillId="0" borderId="22" xfId="0" applyNumberFormat="1" applyFont="1" applyBorder="1" applyAlignment="1">
      <alignment horizontal="center" vertical="center" wrapText="1"/>
    </xf>
    <xf numFmtId="164" fontId="29" fillId="0" borderId="0" xfId="0" applyNumberFormat="1" applyFont="1" applyFill="1" applyBorder="1" applyAlignment="1">
      <alignment horizontal="center"/>
    </xf>
    <xf numFmtId="0" fontId="29" fillId="0" borderId="15" xfId="0" applyFont="1" applyBorder="1" applyAlignment="1">
      <alignment horizontal="center"/>
    </xf>
    <xf numFmtId="0" fontId="29" fillId="0" borderId="3" xfId="0" applyFont="1" applyBorder="1" applyAlignment="1">
      <alignment horizontal="center"/>
    </xf>
    <xf numFmtId="0" fontId="36" fillId="0" borderId="4" xfId="0" applyFont="1" applyBorder="1" applyAlignment="1">
      <alignment horizontal="left" vertical="center"/>
    </xf>
    <xf numFmtId="0" fontId="29" fillId="0" borderId="4" xfId="0" applyFont="1" applyBorder="1" applyAlignment="1">
      <alignment horizontal="left" vertical="center"/>
    </xf>
    <xf numFmtId="0" fontId="21" fillId="0" borderId="4" xfId="0" applyFont="1" applyBorder="1" applyAlignment="1">
      <alignment horizontal="center" vertical="center"/>
    </xf>
    <xf numFmtId="0" fontId="38" fillId="0" borderId="0" xfId="0" applyFont="1" applyAlignment="1">
      <alignment horizontal="center" vertical="center"/>
    </xf>
    <xf numFmtId="0" fontId="33" fillId="0" borderId="4" xfId="0" applyFont="1" applyBorder="1" applyAlignment="1">
      <alignment horizontal="center" vertical="center"/>
    </xf>
    <xf numFmtId="0" fontId="28" fillId="0" borderId="4" xfId="0" applyFont="1" applyBorder="1" applyAlignment="1">
      <alignment horizontal="left" vertical="center"/>
    </xf>
    <xf numFmtId="0" fontId="28" fillId="0" borderId="2" xfId="0" applyFont="1" applyBorder="1" applyAlignment="1">
      <alignment horizontal="left" vertical="center"/>
    </xf>
    <xf numFmtId="164" fontId="29" fillId="0" borderId="22" xfId="0" applyNumberFormat="1" applyFont="1" applyBorder="1" applyAlignment="1">
      <alignment horizontal="center"/>
    </xf>
    <xf numFmtId="2" fontId="25" fillId="0" borderId="0" xfId="0" applyNumberFormat="1" applyFont="1"/>
    <xf numFmtId="2" fontId="25" fillId="0" borderId="0" xfId="0" applyNumberFormat="1" applyFont="1" applyAlignment="1">
      <alignment horizontal="left"/>
    </xf>
    <xf numFmtId="0" fontId="28" fillId="0" borderId="0" xfId="0" applyFont="1" applyBorder="1" applyAlignment="1">
      <alignment horizontal="left" vertical="center"/>
    </xf>
    <xf numFmtId="0" fontId="28" fillId="0" borderId="0" xfId="0" applyNumberFormat="1" applyFont="1" applyBorder="1" applyAlignment="1">
      <alignment horizontal="center" vertical="center"/>
    </xf>
    <xf numFmtId="10" fontId="28" fillId="3" borderId="0" xfId="0" applyNumberFormat="1" applyFont="1" applyFill="1" applyBorder="1" applyAlignment="1">
      <alignment horizontal="center" vertical="center" wrapText="1"/>
    </xf>
    <xf numFmtId="0" fontId="28" fillId="0" borderId="0" xfId="0" applyFont="1" applyBorder="1" applyAlignment="1">
      <alignment horizontal="center" vertical="center"/>
    </xf>
    <xf numFmtId="10" fontId="28" fillId="0" borderId="0" xfId="0" applyNumberFormat="1" applyFont="1" applyBorder="1" applyAlignment="1">
      <alignment horizontal="center" vertical="center" wrapText="1"/>
    </xf>
    <xf numFmtId="0" fontId="4" fillId="0" borderId="4" xfId="0" applyFont="1" applyBorder="1"/>
    <xf numFmtId="0" fontId="28" fillId="0" borderId="0" xfId="0" applyFont="1" applyFill="1"/>
    <xf numFmtId="0" fontId="53" fillId="0" borderId="0" xfId="0" applyFont="1" applyFill="1" applyBorder="1" applyAlignment="1">
      <alignment vertical="center" wrapText="1"/>
    </xf>
    <xf numFmtId="0" fontId="21" fillId="0" borderId="4" xfId="0" applyFont="1" applyFill="1" applyBorder="1" applyAlignment="1">
      <alignment horizontal="center" vertical="center"/>
    </xf>
    <xf numFmtId="0" fontId="36" fillId="0" borderId="4" xfId="0" applyFont="1" applyFill="1" applyBorder="1" applyAlignment="1">
      <alignment horizontal="center" vertical="center"/>
    </xf>
    <xf numFmtId="2" fontId="28" fillId="0" borderId="4" xfId="0" applyNumberFormat="1" applyFont="1" applyFill="1" applyBorder="1" applyAlignment="1">
      <alignment horizontal="center"/>
    </xf>
    <xf numFmtId="0" fontId="28" fillId="0" borderId="4" xfId="0" applyFont="1" applyFill="1" applyBorder="1" applyAlignment="1">
      <alignment horizontal="center"/>
    </xf>
    <xf numFmtId="0" fontId="28" fillId="0" borderId="4" xfId="0" applyFont="1" applyFill="1" applyBorder="1" applyAlignment="1">
      <alignment horizontal="center" vertical="center"/>
    </xf>
    <xf numFmtId="2" fontId="28" fillId="0" borderId="4" xfId="0" applyNumberFormat="1" applyFont="1" applyFill="1" applyBorder="1" applyAlignment="1">
      <alignment horizontal="center" vertical="center"/>
    </xf>
    <xf numFmtId="0" fontId="28" fillId="0" borderId="0" xfId="0" applyFont="1" applyFill="1" applyAlignment="1">
      <alignment horizontal="center" vertical="center"/>
    </xf>
    <xf numFmtId="0" fontId="4" fillId="0" borderId="0" xfId="0" applyFont="1" applyBorder="1"/>
    <xf numFmtId="2" fontId="28" fillId="0" borderId="18" xfId="0" applyNumberFormat="1" applyFont="1" applyFill="1" applyBorder="1" applyAlignment="1">
      <alignment horizontal="center" vertical="center"/>
    </xf>
    <xf numFmtId="2" fontId="17" fillId="0" borderId="18" xfId="0" applyNumberFormat="1" applyFont="1" applyFill="1" applyBorder="1" applyAlignment="1">
      <alignment horizontal="center" vertical="center"/>
    </xf>
    <xf numFmtId="2" fontId="28" fillId="0" borderId="0" xfId="0" applyNumberFormat="1" applyFont="1" applyFill="1" applyAlignment="1">
      <alignment horizontal="center"/>
    </xf>
    <xf numFmtId="0" fontId="7" fillId="0" borderId="17" xfId="0" applyFont="1" applyFill="1" applyBorder="1"/>
    <xf numFmtId="0" fontId="7" fillId="0" borderId="0" xfId="0" applyFont="1" applyFill="1"/>
    <xf numFmtId="0" fontId="4" fillId="0" borderId="0" xfId="0" applyFont="1" applyFill="1"/>
    <xf numFmtId="0" fontId="4" fillId="0" borderId="0" xfId="0" applyFont="1" applyFill="1" applyAlignment="1">
      <alignment horizontal="center"/>
    </xf>
    <xf numFmtId="2" fontId="28" fillId="0" borderId="4" xfId="0" applyNumberFormat="1" applyFont="1" applyFill="1" applyBorder="1" applyAlignment="1">
      <alignment horizontal="center" vertical="center" wrapText="1"/>
    </xf>
    <xf numFmtId="2" fontId="28" fillId="0" borderId="4" xfId="0" applyNumberFormat="1" applyFont="1" applyFill="1" applyBorder="1"/>
    <xf numFmtId="2" fontId="28" fillId="0" borderId="4" xfId="0" applyNumberFormat="1" applyFont="1" applyFill="1" applyBorder="1" applyAlignment="1">
      <alignment horizontal="center" wrapText="1"/>
    </xf>
    <xf numFmtId="2" fontId="28" fillId="0" borderId="16" xfId="0" applyNumberFormat="1" applyFont="1" applyFill="1" applyBorder="1" applyAlignment="1">
      <alignment horizontal="center" vertical="center"/>
    </xf>
    <xf numFmtId="2" fontId="28" fillId="0" borderId="10" xfId="0" applyNumberFormat="1" applyFont="1" applyFill="1" applyBorder="1" applyAlignment="1">
      <alignment horizontal="center" vertical="center"/>
    </xf>
    <xf numFmtId="2" fontId="28" fillId="0" borderId="1" xfId="0" applyNumberFormat="1" applyFont="1" applyFill="1" applyBorder="1" applyAlignment="1">
      <alignment horizontal="center" vertical="center" wrapText="1"/>
    </xf>
    <xf numFmtId="2" fontId="28" fillId="0" borderId="14" xfId="0" applyNumberFormat="1" applyFont="1" applyFill="1" applyBorder="1" applyAlignment="1">
      <alignment horizontal="center" vertical="center"/>
    </xf>
    <xf numFmtId="2" fontId="28" fillId="0" borderId="1" xfId="0" applyNumberFormat="1" applyFont="1" applyFill="1" applyBorder="1" applyAlignment="1">
      <alignment horizontal="center"/>
    </xf>
    <xf numFmtId="2" fontId="28" fillId="0" borderId="1" xfId="0" applyNumberFormat="1" applyFont="1" applyFill="1" applyBorder="1" applyAlignment="1">
      <alignment horizontal="center" vertical="center"/>
    </xf>
    <xf numFmtId="0" fontId="38" fillId="0" borderId="0" xfId="0" applyFont="1" applyFill="1" applyAlignment="1">
      <alignment horizontal="center" vertical="center"/>
    </xf>
    <xf numFmtId="0" fontId="28" fillId="0" borderId="0" xfId="0" applyFont="1" applyFill="1" applyAlignment="1">
      <alignment horizontal="center"/>
    </xf>
    <xf numFmtId="0" fontId="33" fillId="0" borderId="4" xfId="0" applyFont="1" applyFill="1" applyBorder="1" applyAlignment="1">
      <alignment horizontal="center" vertical="center"/>
    </xf>
    <xf numFmtId="0" fontId="28" fillId="0" borderId="4" xfId="0" applyFont="1" applyFill="1" applyBorder="1" applyAlignment="1">
      <alignment horizontal="center" vertical="center" wrapText="1"/>
    </xf>
    <xf numFmtId="10" fontId="28" fillId="0" borderId="4" xfId="0" applyNumberFormat="1" applyFont="1" applyFill="1" applyBorder="1" applyAlignment="1">
      <alignment horizontal="center" vertical="center" wrapText="1"/>
    </xf>
    <xf numFmtId="0" fontId="28" fillId="0" borderId="4" xfId="0" applyFont="1" applyFill="1" applyBorder="1" applyAlignment="1">
      <alignment horizontal="left" vertic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xf>
    <xf numFmtId="10" fontId="28" fillId="0" borderId="0" xfId="0" applyNumberFormat="1" applyFont="1" applyFill="1" applyBorder="1" applyAlignment="1">
      <alignment horizontal="center" vertical="center" wrapText="1"/>
    </xf>
    <xf numFmtId="10" fontId="28" fillId="0" borderId="0" xfId="0" applyNumberFormat="1" applyFont="1" applyFill="1" applyAlignment="1">
      <alignment horizontal="center" vertical="center"/>
    </xf>
    <xf numFmtId="0" fontId="28" fillId="0" borderId="0" xfId="0" applyFont="1" applyFill="1" applyAlignment="1">
      <alignment horizontal="left" vertical="center"/>
    </xf>
    <xf numFmtId="0" fontId="28" fillId="0" borderId="0" xfId="0" applyFont="1" applyFill="1" applyAlignment="1">
      <alignment horizontal="center" vertical="center" wrapText="1"/>
    </xf>
    <xf numFmtId="10" fontId="28" fillId="0" borderId="22" xfId="0" applyNumberFormat="1" applyFont="1" applyFill="1" applyBorder="1" applyAlignment="1">
      <alignment horizontal="center" vertical="center"/>
    </xf>
    <xf numFmtId="10" fontId="28" fillId="0" borderId="4" xfId="0" applyNumberFormat="1" applyFont="1" applyFill="1" applyBorder="1" applyAlignment="1">
      <alignment horizontal="center"/>
    </xf>
    <xf numFmtId="10" fontId="28" fillId="0" borderId="0" xfId="0" applyNumberFormat="1" applyFont="1" applyFill="1" applyAlignment="1">
      <alignment horizontal="center"/>
    </xf>
    <xf numFmtId="10" fontId="28" fillId="0" borderId="4" xfId="0" applyNumberFormat="1" applyFont="1" applyFill="1" applyBorder="1" applyAlignment="1">
      <alignment horizontal="center" vertical="center"/>
    </xf>
    <xf numFmtId="0" fontId="52" fillId="0" borderId="0" xfId="0" applyFont="1" applyFill="1" applyAlignment="1">
      <alignment horizontal="center"/>
    </xf>
    <xf numFmtId="10" fontId="48" fillId="0" borderId="0" xfId="0" applyNumberFormat="1" applyFont="1" applyFill="1" applyAlignment="1">
      <alignment horizontal="left" vertical="center" wrapText="1"/>
    </xf>
    <xf numFmtId="0" fontId="28" fillId="0" borderId="0" xfId="0" applyFont="1" applyFill="1" applyAlignment="1">
      <alignment horizontal="right"/>
    </xf>
    <xf numFmtId="164" fontId="28" fillId="0" borderId="0" xfId="0" applyNumberFormat="1" applyFont="1" applyFill="1"/>
    <xf numFmtId="0" fontId="29" fillId="0" borderId="22" xfId="0" applyFont="1" applyFill="1" applyBorder="1" applyAlignment="1">
      <alignment horizontal="center" vertical="center" wrapText="1"/>
    </xf>
    <xf numFmtId="0" fontId="29" fillId="0" borderId="0" xfId="0" applyFont="1" applyFill="1" applyAlignment="1">
      <alignment horizontal="center" vertical="center"/>
    </xf>
    <xf numFmtId="0" fontId="29" fillId="0" borderId="1" xfId="0" applyFont="1" applyFill="1" applyBorder="1" applyAlignment="1">
      <alignment horizontal="center" vertical="center" wrapText="1"/>
    </xf>
    <xf numFmtId="10" fontId="28" fillId="0" borderId="0" xfId="0" applyNumberFormat="1" applyFont="1" applyFill="1"/>
    <xf numFmtId="2" fontId="28" fillId="0" borderId="22" xfId="0" applyNumberFormat="1" applyFont="1" applyFill="1" applyBorder="1" applyAlignment="1">
      <alignment horizontal="center" vertical="center"/>
    </xf>
    <xf numFmtId="164" fontId="29" fillId="0" borderId="22" xfId="0" applyNumberFormat="1" applyFont="1" applyFill="1" applyBorder="1" applyAlignment="1">
      <alignment horizontal="center"/>
    </xf>
    <xf numFmtId="10" fontId="3" fillId="0" borderId="0" xfId="0" applyNumberFormat="1" applyFont="1" applyFill="1" applyAlignment="1">
      <alignment horizontal="center"/>
    </xf>
    <xf numFmtId="10" fontId="4" fillId="0" borderId="0" xfId="0" applyNumberFormat="1" applyFont="1" applyFill="1"/>
    <xf numFmtId="0" fontId="3" fillId="0" borderId="0" xfId="0" applyFont="1" applyFill="1" applyAlignment="1">
      <alignment horizontal="center" vertical="center"/>
    </xf>
    <xf numFmtId="0" fontId="4" fillId="0" borderId="0" xfId="0" applyFont="1" applyFill="1" applyBorder="1"/>
    <xf numFmtId="10" fontId="4" fillId="0" borderId="0" xfId="0" applyNumberFormat="1" applyFont="1" applyFill="1" applyBorder="1"/>
    <xf numFmtId="2" fontId="28" fillId="0" borderId="0" xfId="0" applyNumberFormat="1" applyFont="1" applyFill="1" applyBorder="1" applyAlignment="1">
      <alignment horizontal="center" vertical="center"/>
    </xf>
    <xf numFmtId="0" fontId="14" fillId="0" borderId="0" xfId="0" applyFont="1" applyFill="1"/>
    <xf numFmtId="0" fontId="21" fillId="2" borderId="4" xfId="0" applyFont="1" applyFill="1" applyBorder="1" applyAlignment="1">
      <alignment vertical="center" wrapText="1"/>
    </xf>
    <xf numFmtId="0" fontId="24" fillId="5" borderId="4" xfId="0" applyFont="1" applyFill="1" applyBorder="1" applyAlignment="1">
      <alignment horizontal="left" vertical="center" wrapText="1"/>
    </xf>
    <xf numFmtId="0" fontId="24" fillId="0" borderId="4" xfId="0" applyFont="1" applyBorder="1" applyAlignment="1">
      <alignment horizontal="left" wrapText="1"/>
    </xf>
    <xf numFmtId="0" fontId="24" fillId="0" borderId="4" xfId="0" applyFont="1" applyBorder="1" applyAlignment="1">
      <alignment horizontal="left"/>
    </xf>
    <xf numFmtId="0" fontId="24" fillId="6" borderId="4" xfId="0" applyFont="1" applyFill="1" applyBorder="1" applyAlignment="1">
      <alignment horizontal="left" vertical="center" wrapText="1"/>
    </xf>
    <xf numFmtId="2" fontId="16" fillId="0" borderId="4" xfId="0" applyNumberFormat="1" applyFont="1" applyBorder="1" applyAlignment="1">
      <alignment horizontal="center" vertical="center"/>
    </xf>
    <xf numFmtId="0" fontId="28" fillId="0" borderId="0" xfId="0" applyFont="1" applyFill="1" applyBorder="1" applyAlignment="1">
      <alignment horizontal="center"/>
    </xf>
    <xf numFmtId="0" fontId="28" fillId="0" borderId="0" xfId="0" applyFont="1" applyBorder="1" applyAlignment="1">
      <alignment horizontal="center"/>
    </xf>
    <xf numFmtId="164" fontId="28" fillId="0" borderId="0" xfId="0" applyNumberFormat="1" applyFont="1" applyBorder="1" applyAlignment="1">
      <alignment horizontal="center"/>
    </xf>
    <xf numFmtId="0" fontId="28" fillId="0" borderId="0" xfId="0" applyFont="1" applyBorder="1"/>
    <xf numFmtId="0" fontId="29" fillId="0" borderId="4" xfId="0" applyFont="1" applyBorder="1" applyAlignment="1">
      <alignment horizontal="center" vertical="center"/>
    </xf>
    <xf numFmtId="0" fontId="33" fillId="0" borderId="4" xfId="0" applyFont="1" applyFill="1" applyBorder="1" applyAlignment="1">
      <alignment horizontal="center" vertical="center"/>
    </xf>
    <xf numFmtId="0" fontId="9" fillId="0" borderId="22" xfId="0" applyFont="1" applyBorder="1" applyAlignment="1">
      <alignment horizontal="left"/>
    </xf>
    <xf numFmtId="0" fontId="17" fillId="0" borderId="22" xfId="0" applyFont="1" applyBorder="1" applyAlignment="1">
      <alignment horizontal="center"/>
    </xf>
    <xf numFmtId="49" fontId="41" fillId="0" borderId="0" xfId="0" applyNumberFormat="1" applyFont="1" applyAlignment="1">
      <alignment horizontal="left" vertical="center" wrapText="1"/>
    </xf>
    <xf numFmtId="10" fontId="36" fillId="0" borderId="0" xfId="0" applyNumberFormat="1" applyFont="1" applyFill="1" applyBorder="1" applyAlignment="1">
      <alignment horizontal="center" vertical="center" wrapText="1"/>
    </xf>
    <xf numFmtId="0" fontId="29" fillId="0" borderId="0" xfId="0" applyFont="1" applyFill="1" applyBorder="1" applyAlignment="1">
      <alignment horizontal="center" wrapText="1"/>
    </xf>
    <xf numFmtId="164" fontId="28" fillId="0" borderId="0" xfId="0" applyNumberFormat="1" applyFont="1" applyFill="1" applyBorder="1" applyAlignment="1">
      <alignment horizontal="center"/>
    </xf>
    <xf numFmtId="2" fontId="28" fillId="0" borderId="2" xfId="0" applyNumberFormat="1" applyFont="1" applyFill="1" applyBorder="1" applyAlignment="1">
      <alignment horizontal="center"/>
    </xf>
    <xf numFmtId="2" fontId="28" fillId="0" borderId="8" xfId="0" applyNumberFormat="1" applyFont="1" applyFill="1" applyBorder="1" applyAlignment="1">
      <alignment horizontal="center"/>
    </xf>
    <xf numFmtId="0" fontId="29" fillId="0" borderId="4" xfId="0" applyFont="1" applyFill="1" applyBorder="1" applyAlignment="1">
      <alignment horizontal="left"/>
    </xf>
    <xf numFmtId="10" fontId="28" fillId="0" borderId="0" xfId="0" applyNumberFormat="1" applyFont="1" applyFill="1" applyAlignment="1">
      <alignment horizontal="center" vertical="center" wrapText="1"/>
    </xf>
    <xf numFmtId="10" fontId="28" fillId="0" borderId="22" xfId="0" applyNumberFormat="1" applyFont="1" applyFill="1" applyBorder="1" applyAlignment="1">
      <alignment horizontal="center"/>
    </xf>
    <xf numFmtId="10" fontId="3" fillId="0" borderId="0" xfId="0" applyNumberFormat="1" applyFont="1" applyFill="1" applyAlignment="1">
      <alignment horizontal="center" vertical="center"/>
    </xf>
    <xf numFmtId="0" fontId="4" fillId="0" borderId="0" xfId="0" applyFont="1" applyFill="1" applyAlignment="1">
      <alignment horizontal="center" vertical="center"/>
    </xf>
    <xf numFmtId="10" fontId="3" fillId="0" borderId="0" xfId="0" applyNumberFormat="1" applyFont="1" applyFill="1"/>
    <xf numFmtId="2" fontId="17" fillId="0" borderId="4" xfId="0" applyNumberFormat="1" applyFont="1" applyFill="1" applyBorder="1" applyAlignment="1">
      <alignment horizontal="center"/>
    </xf>
    <xf numFmtId="2" fontId="17" fillId="0" borderId="4" xfId="0" applyNumberFormat="1" applyFont="1" applyFill="1" applyBorder="1" applyAlignment="1">
      <alignment horizontal="center" vertical="center"/>
    </xf>
    <xf numFmtId="0" fontId="4" fillId="0" borderId="0" xfId="0" applyNumberFormat="1" applyFont="1" applyAlignment="1"/>
    <xf numFmtId="0" fontId="41" fillId="0" borderId="22" xfId="0" applyNumberFormat="1" applyFont="1" applyBorder="1" applyAlignment="1">
      <alignment horizontal="center" vertical="center"/>
    </xf>
    <xf numFmtId="0" fontId="28" fillId="0" borderId="0" xfId="0" applyNumberFormat="1" applyFont="1" applyAlignment="1"/>
    <xf numFmtId="49" fontId="29" fillId="0" borderId="22" xfId="0" applyNumberFormat="1" applyFont="1" applyBorder="1" applyAlignment="1">
      <alignment horizontal="center" vertical="center" wrapText="1"/>
    </xf>
    <xf numFmtId="0" fontId="28" fillId="0" borderId="22" xfId="0" applyNumberFormat="1" applyFont="1" applyBorder="1" applyAlignment="1">
      <alignment horizontal="center" vertical="center"/>
    </xf>
    <xf numFmtId="0" fontId="0" fillId="0" borderId="0" xfId="0" applyFont="1"/>
    <xf numFmtId="0" fontId="55" fillId="0" borderId="22" xfId="0" applyFont="1" applyBorder="1" applyAlignment="1">
      <alignment horizontal="left"/>
    </xf>
    <xf numFmtId="0" fontId="55" fillId="0" borderId="22" xfId="0" applyFont="1" applyBorder="1"/>
    <xf numFmtId="0" fontId="28" fillId="0" borderId="0" xfId="0" applyFont="1" applyBorder="1" applyAlignment="1">
      <alignment horizontal="left"/>
    </xf>
    <xf numFmtId="0" fontId="32" fillId="0" borderId="22" xfId="0" applyFont="1" applyFill="1" applyBorder="1" applyAlignment="1">
      <alignment horizontal="left"/>
    </xf>
    <xf numFmtId="0" fontId="28" fillId="0" borderId="22" xfId="0" applyFont="1" applyFill="1" applyBorder="1" applyAlignment="1">
      <alignment horizontal="left"/>
    </xf>
    <xf numFmtId="2" fontId="29" fillId="0" borderId="22" xfId="0" applyNumberFormat="1" applyFont="1" applyFill="1" applyBorder="1" applyAlignment="1">
      <alignment horizontal="left"/>
    </xf>
    <xf numFmtId="2" fontId="28" fillId="0" borderId="22" xfId="0" applyNumberFormat="1" applyFont="1" applyFill="1" applyBorder="1" applyAlignment="1">
      <alignment horizontal="left"/>
    </xf>
    <xf numFmtId="0" fontId="39" fillId="0" borderId="0" xfId="0" applyFont="1" applyAlignment="1">
      <alignment horizontal="left" vertical="center"/>
    </xf>
    <xf numFmtId="0" fontId="29" fillId="0" borderId="1" xfId="0" applyFont="1" applyBorder="1" applyAlignment="1">
      <alignment horizontal="center" vertical="center"/>
    </xf>
    <xf numFmtId="0" fontId="29" fillId="0" borderId="5" xfId="0" applyFont="1" applyBorder="1" applyAlignment="1">
      <alignment horizontal="center" vertical="center"/>
    </xf>
    <xf numFmtId="0" fontId="29" fillId="0" borderId="19" xfId="0" applyFont="1" applyBorder="1" applyAlignment="1">
      <alignment horizontal="center" vertical="center"/>
    </xf>
    <xf numFmtId="0" fontId="36" fillId="0" borderId="4" xfId="0" applyFont="1" applyBorder="1" applyAlignment="1">
      <alignment horizontal="left" vertical="center"/>
    </xf>
    <xf numFmtId="0" fontId="29" fillId="0" borderId="1"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2" xfId="0" applyFont="1" applyBorder="1" applyAlignment="1">
      <alignment horizontal="center" vertical="center"/>
    </xf>
    <xf numFmtId="0" fontId="29" fillId="0" borderId="15"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4" xfId="0" applyFont="1" applyBorder="1" applyAlignment="1">
      <alignment horizontal="left" vertical="center"/>
    </xf>
    <xf numFmtId="0" fontId="21" fillId="0" borderId="2" xfId="0" applyFont="1" applyBorder="1" applyAlignment="1">
      <alignment horizontal="left" vertical="center"/>
    </xf>
    <xf numFmtId="0" fontId="21" fillId="0" borderId="15" xfId="0" applyFont="1" applyBorder="1" applyAlignment="1">
      <alignment horizontal="left" vertical="center"/>
    </xf>
    <xf numFmtId="0" fontId="21" fillId="0" borderId="3" xfId="0" applyFont="1" applyBorder="1" applyAlignment="1">
      <alignment horizontal="left" vertical="center"/>
    </xf>
    <xf numFmtId="0" fontId="21" fillId="0" borderId="1" xfId="0" applyFont="1" applyBorder="1" applyAlignment="1">
      <alignment horizontal="left" vertical="center"/>
    </xf>
    <xf numFmtId="0" fontId="21" fillId="0" borderId="5" xfId="0" applyFont="1" applyBorder="1" applyAlignment="1">
      <alignment horizontal="left"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21" fillId="0" borderId="4" xfId="0" applyFont="1" applyBorder="1" applyAlignment="1">
      <alignment horizontal="center" vertical="center"/>
    </xf>
    <xf numFmtId="0" fontId="21" fillId="0" borderId="4" xfId="0" applyFont="1" applyBorder="1" applyAlignment="1">
      <alignment horizontal="center" vertical="center" wrapText="1"/>
    </xf>
    <xf numFmtId="0" fontId="21" fillId="3" borderId="4" xfId="0" applyFont="1" applyFill="1" applyBorder="1" applyAlignment="1">
      <alignment horizontal="center" vertical="center" wrapText="1"/>
    </xf>
    <xf numFmtId="0" fontId="36" fillId="0" borderId="4" xfId="0" applyFont="1" applyBorder="1" applyAlignment="1">
      <alignment horizontal="center" vertical="center" wrapText="1"/>
    </xf>
    <xf numFmtId="49" fontId="54" fillId="0" borderId="22" xfId="0" applyNumberFormat="1" applyFont="1" applyBorder="1" applyAlignment="1">
      <alignment horizontal="center" vertical="center"/>
    </xf>
    <xf numFmtId="0" fontId="13" fillId="0" borderId="0" xfId="0" applyFont="1" applyAlignment="1">
      <alignment horizontal="left" vertical="center" wrapText="1"/>
    </xf>
    <xf numFmtId="0" fontId="19" fillId="0" borderId="0" xfId="0" applyFont="1" applyAlignment="1">
      <alignment horizontal="left" vertical="center" wrapText="1"/>
    </xf>
    <xf numFmtId="0" fontId="4" fillId="0" borderId="4" xfId="0" applyFont="1" applyFill="1" applyBorder="1" applyAlignment="1">
      <alignment horizontal="left"/>
    </xf>
    <xf numFmtId="0" fontId="28" fillId="0" borderId="4" xfId="0" applyFont="1" applyFill="1" applyBorder="1" applyAlignment="1">
      <alignment horizontal="left" vertical="center"/>
    </xf>
    <xf numFmtId="0" fontId="29" fillId="0" borderId="4" xfId="0" applyFont="1" applyBorder="1" applyAlignment="1">
      <alignment horizontal="center"/>
    </xf>
    <xf numFmtId="10" fontId="36" fillId="3" borderId="22" xfId="0" applyNumberFormat="1" applyFont="1" applyFill="1" applyBorder="1" applyAlignment="1">
      <alignment horizontal="center" vertical="center" wrapText="1"/>
    </xf>
    <xf numFmtId="0" fontId="51" fillId="0" borderId="2" xfId="0" applyFont="1" applyFill="1" applyBorder="1" applyAlignment="1">
      <alignment horizontal="center" vertical="center"/>
    </xf>
    <xf numFmtId="0" fontId="51" fillId="0" borderId="3" xfId="0" applyFont="1" applyFill="1" applyBorder="1" applyAlignment="1">
      <alignment horizontal="center" vertical="center"/>
    </xf>
    <xf numFmtId="0" fontId="28" fillId="0" borderId="2" xfId="0" applyFont="1" applyFill="1" applyBorder="1" applyAlignment="1">
      <alignment horizontal="left" vertical="center"/>
    </xf>
    <xf numFmtId="0" fontId="28" fillId="0" borderId="3" xfId="0" applyFont="1" applyFill="1" applyBorder="1" applyAlignment="1">
      <alignment horizontal="left" vertical="center"/>
    </xf>
    <xf numFmtId="0" fontId="36" fillId="0" borderId="4" xfId="0" applyFont="1" applyFill="1" applyBorder="1" applyAlignment="1">
      <alignment horizontal="left"/>
    </xf>
    <xf numFmtId="0" fontId="29" fillId="0" borderId="4" xfId="0" applyFont="1" applyFill="1" applyBorder="1" applyAlignment="1">
      <alignment horizontal="left" vertical="center"/>
    </xf>
    <xf numFmtId="0" fontId="51" fillId="0" borderId="4" xfId="0" applyFont="1" applyBorder="1" applyAlignment="1">
      <alignment horizontal="center" vertical="center"/>
    </xf>
    <xf numFmtId="49" fontId="10" fillId="0" borderId="23" xfId="0" applyNumberFormat="1" applyFont="1" applyBorder="1" applyAlignment="1">
      <alignment horizontal="center" vertical="center"/>
    </xf>
    <xf numFmtId="49" fontId="10" fillId="0" borderId="24" xfId="0" applyNumberFormat="1" applyFont="1" applyBorder="1" applyAlignment="1">
      <alignment horizontal="center" vertical="center"/>
    </xf>
    <xf numFmtId="49" fontId="10" fillId="0" borderId="25" xfId="0" applyNumberFormat="1" applyFont="1" applyBorder="1" applyAlignment="1">
      <alignment horizontal="center" vertical="center"/>
    </xf>
    <xf numFmtId="0" fontId="33" fillId="0" borderId="0" xfId="0" applyFont="1" applyAlignment="1">
      <alignment horizontal="center" vertical="center"/>
    </xf>
    <xf numFmtId="0" fontId="38" fillId="0" borderId="0" xfId="0" applyFont="1" applyFill="1" applyAlignment="1">
      <alignment horizontal="center" vertical="center"/>
    </xf>
    <xf numFmtId="0" fontId="33" fillId="0" borderId="0" xfId="0" applyFont="1" applyFill="1" applyAlignment="1">
      <alignment horizontal="center"/>
    </xf>
    <xf numFmtId="0" fontId="33" fillId="0" borderId="0" xfId="0" applyFont="1" applyFill="1" applyAlignment="1">
      <alignment horizontal="center" vertical="center"/>
    </xf>
    <xf numFmtId="0" fontId="38" fillId="0" borderId="4" xfId="0" applyFont="1" applyFill="1" applyBorder="1" applyAlignment="1">
      <alignment horizontal="center" vertical="center"/>
    </xf>
    <xf numFmtId="0" fontId="33" fillId="0" borderId="4"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21" fillId="3" borderId="4" xfId="0" applyNumberFormat="1" applyFont="1" applyFill="1" applyBorder="1" applyAlignment="1">
      <alignment horizontal="center" vertical="center"/>
    </xf>
    <xf numFmtId="0" fontId="21" fillId="3" borderId="1"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29" fillId="0" borderId="2" xfId="0" applyFont="1" applyBorder="1" applyAlignment="1">
      <alignment horizontal="left" wrapText="1"/>
    </xf>
    <xf numFmtId="0" fontId="29" fillId="0" borderId="15" xfId="0" applyFont="1" applyBorder="1" applyAlignment="1">
      <alignment horizontal="left" wrapText="1"/>
    </xf>
    <xf numFmtId="0" fontId="29" fillId="0" borderId="3" xfId="0" applyFont="1" applyBorder="1" applyAlignment="1">
      <alignment horizontal="left" wrapText="1"/>
    </xf>
    <xf numFmtId="0" fontId="26" fillId="0" borderId="2" xfId="0" applyFont="1" applyBorder="1" applyAlignment="1">
      <alignment horizontal="center" vertical="center"/>
    </xf>
    <xf numFmtId="0" fontId="26" fillId="0" borderId="15" xfId="0" applyFont="1" applyBorder="1" applyAlignment="1">
      <alignment horizontal="center" vertical="center"/>
    </xf>
    <xf numFmtId="0" fontId="26" fillId="0" borderId="3" xfId="0" applyFont="1" applyBorder="1" applyAlignment="1">
      <alignment horizontal="center" vertical="center"/>
    </xf>
    <xf numFmtId="0" fontId="25" fillId="0" borderId="1" xfId="0" applyFont="1" applyBorder="1" applyAlignment="1">
      <alignment horizontal="center" vertical="center"/>
    </xf>
    <xf numFmtId="0" fontId="25" fillId="0" borderId="21" xfId="0" applyFont="1" applyBorder="1" applyAlignment="1">
      <alignment horizontal="center" vertical="center"/>
    </xf>
    <xf numFmtId="0" fontId="25" fillId="0" borderId="5" xfId="0" applyFont="1" applyBorder="1" applyAlignment="1">
      <alignment horizontal="center" vertical="center"/>
    </xf>
    <xf numFmtId="0" fontId="25" fillId="0" borderId="1" xfId="0" applyFont="1" applyBorder="1" applyAlignment="1">
      <alignment horizontal="left" vertical="center"/>
    </xf>
    <xf numFmtId="0" fontId="25" fillId="0" borderId="21" xfId="0" applyFont="1" applyBorder="1" applyAlignment="1">
      <alignment horizontal="left" vertical="center"/>
    </xf>
    <xf numFmtId="0" fontId="25" fillId="0" borderId="5" xfId="0" applyFont="1" applyBorder="1" applyAlignment="1">
      <alignment horizontal="left" vertical="center"/>
    </xf>
    <xf numFmtId="0" fontId="16" fillId="0" borderId="4" xfId="0" applyFont="1" applyBorder="1" applyAlignment="1">
      <alignment horizontal="center" vertical="center"/>
    </xf>
    <xf numFmtId="1" fontId="16" fillId="0" borderId="4"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9" fillId="0" borderId="21" xfId="0" applyFont="1" applyBorder="1" applyAlignment="1">
      <alignment horizontal="center" vertical="center"/>
    </xf>
    <xf numFmtId="0" fontId="9" fillId="0" borderId="5" xfId="0" applyFont="1" applyBorder="1" applyAlignment="1">
      <alignment horizontal="center" vertical="center"/>
    </xf>
    <xf numFmtId="0" fontId="10" fillId="0" borderId="4" xfId="0" applyFont="1" applyBorder="1" applyAlignment="1">
      <alignment horizontal="center" vertical="center"/>
    </xf>
    <xf numFmtId="0" fontId="9" fillId="0" borderId="2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2" xfId="0" applyFont="1" applyBorder="1" applyAlignment="1">
      <alignment horizontal="center" vertical="center"/>
    </xf>
    <xf numFmtId="2" fontId="25" fillId="0" borderId="1" xfId="0" applyNumberFormat="1" applyFont="1" applyBorder="1" applyAlignment="1">
      <alignment horizontal="center" vertical="center"/>
    </xf>
    <xf numFmtId="2" fontId="25" fillId="0" borderId="5" xfId="0" applyNumberFormat="1" applyFont="1" applyBorder="1" applyAlignment="1">
      <alignment horizontal="center" vertical="center"/>
    </xf>
    <xf numFmtId="1" fontId="25" fillId="0" borderId="1" xfId="0" applyNumberFormat="1" applyFont="1" applyBorder="1" applyAlignment="1">
      <alignment horizontal="center" vertical="center"/>
    </xf>
    <xf numFmtId="1" fontId="25" fillId="0" borderId="5" xfId="0" applyNumberFormat="1" applyFont="1" applyBorder="1" applyAlignment="1">
      <alignment horizontal="center" vertical="center"/>
    </xf>
    <xf numFmtId="0" fontId="25" fillId="7" borderId="1" xfId="0" applyFont="1" applyFill="1" applyBorder="1" applyAlignment="1">
      <alignment horizontal="left" vertical="center"/>
    </xf>
    <xf numFmtId="0" fontId="25" fillId="7" borderId="5" xfId="0" applyFont="1" applyFill="1" applyBorder="1" applyAlignment="1">
      <alignment horizontal="left" vertical="center"/>
    </xf>
    <xf numFmtId="0" fontId="25" fillId="6" borderId="1" xfId="0" applyFont="1" applyFill="1" applyBorder="1" applyAlignment="1">
      <alignment horizontal="left" vertical="center"/>
    </xf>
    <xf numFmtId="0" fontId="25" fillId="6" borderId="5" xfId="0" applyFont="1" applyFill="1" applyBorder="1" applyAlignment="1">
      <alignment horizontal="left" vertical="center"/>
    </xf>
    <xf numFmtId="49" fontId="25" fillId="0" borderId="1" xfId="0" applyNumberFormat="1" applyFont="1" applyBorder="1" applyAlignment="1">
      <alignment horizontal="left" vertical="center"/>
    </xf>
    <xf numFmtId="49" fontId="25" fillId="0" borderId="5" xfId="0" applyNumberFormat="1" applyFont="1" applyBorder="1" applyAlignment="1">
      <alignment horizontal="left" vertical="center"/>
    </xf>
    <xf numFmtId="0" fontId="16" fillId="0" borderId="22" xfId="0" applyFont="1" applyBorder="1" applyAlignment="1">
      <alignment horizontal="center" vertical="center"/>
    </xf>
    <xf numFmtId="0" fontId="8" fillId="0" borderId="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4" xfId="0" applyFont="1" applyBorder="1" applyAlignment="1">
      <alignment horizontal="center" vertical="center" wrapText="1"/>
    </xf>
    <xf numFmtId="0" fontId="25" fillId="3" borderId="1" xfId="0" applyFont="1" applyFill="1" applyBorder="1" applyAlignment="1">
      <alignment horizontal="left" vertical="center"/>
    </xf>
    <xf numFmtId="0" fontId="25" fillId="3" borderId="5" xfId="0" applyFont="1" applyFill="1" applyBorder="1" applyAlignment="1">
      <alignment horizontal="left" vertical="center"/>
    </xf>
    <xf numFmtId="0" fontId="17" fillId="0" borderId="0" xfId="0" applyFont="1" applyBorder="1" applyAlignment="1">
      <alignment horizont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22" xfId="0" applyFont="1" applyBorder="1" applyAlignment="1">
      <alignment horizontal="left" vertical="center"/>
    </xf>
    <xf numFmtId="0" fontId="45" fillId="0" borderId="9" xfId="0" applyFont="1" applyBorder="1" applyAlignment="1">
      <alignment horizontal="left"/>
    </xf>
    <xf numFmtId="0" fontId="45" fillId="0" borderId="0" xfId="0" applyFont="1" applyAlignment="1">
      <alignment horizontal="left"/>
    </xf>
    <xf numFmtId="165" fontId="9" fillId="0" borderId="2" xfId="0" applyNumberFormat="1" applyFont="1" applyBorder="1" applyAlignment="1">
      <alignment horizontal="center"/>
    </xf>
    <xf numFmtId="165" fontId="9" fillId="0" borderId="15" xfId="0" applyNumberFormat="1" applyFont="1" applyBorder="1" applyAlignment="1">
      <alignment horizontal="center"/>
    </xf>
    <xf numFmtId="165" fontId="29" fillId="0" borderId="2" xfId="0" applyNumberFormat="1" applyFont="1" applyBorder="1" applyAlignment="1">
      <alignment horizontal="center" vertical="top" wrapText="1"/>
    </xf>
    <xf numFmtId="165" fontId="29" fillId="0" borderId="3" xfId="0" applyNumberFormat="1" applyFont="1" applyBorder="1" applyAlignment="1">
      <alignment horizontal="center" vertical="top" wrapText="1"/>
    </xf>
    <xf numFmtId="0" fontId="29" fillId="0" borderId="1" xfId="0" applyFont="1" applyBorder="1" applyAlignment="1">
      <alignment horizontal="center" vertical="top" wrapText="1"/>
    </xf>
    <xf numFmtId="0" fontId="29" fillId="0" borderId="5" xfId="0" applyFont="1" applyBorder="1" applyAlignment="1">
      <alignment horizontal="center" vertical="top" wrapText="1"/>
    </xf>
    <xf numFmtId="164" fontId="29" fillId="0" borderId="22" xfId="0" applyNumberFormat="1" applyFont="1" applyBorder="1" applyAlignment="1">
      <alignment horizontal="center"/>
    </xf>
    <xf numFmtId="165" fontId="29" fillId="0" borderId="4" xfId="0" applyNumberFormat="1" applyFont="1" applyBorder="1" applyAlignment="1">
      <alignment horizontal="center" vertical="top" wrapText="1"/>
    </xf>
    <xf numFmtId="0" fontId="29" fillId="0" borderId="2" xfId="0" applyFont="1" applyBorder="1" applyAlignment="1">
      <alignment horizontal="center" vertical="top" wrapText="1"/>
    </xf>
    <xf numFmtId="0" fontId="29" fillId="0" borderId="3" xfId="0" applyFont="1" applyBorder="1" applyAlignment="1">
      <alignment horizontal="center" vertical="top" wrapText="1"/>
    </xf>
    <xf numFmtId="0" fontId="18" fillId="0" borderId="0" xfId="0" applyFont="1" applyAlignment="1">
      <alignment horizontal="left" vertical="center" wrapText="1"/>
    </xf>
    <xf numFmtId="0" fontId="10" fillId="0" borderId="22" xfId="0" applyFont="1" applyBorder="1" applyAlignment="1">
      <alignment horizontal="center" vertical="top"/>
    </xf>
    <xf numFmtId="0" fontId="29" fillId="0" borderId="21" xfId="0" applyFont="1" applyBorder="1" applyAlignment="1">
      <alignment horizontal="center" vertical="center" wrapText="1"/>
    </xf>
    <xf numFmtId="0" fontId="9" fillId="0" borderId="1" xfId="0" applyFont="1" applyBorder="1" applyAlignment="1">
      <alignment horizontal="center" vertical="center" wrapText="1"/>
    </xf>
    <xf numFmtId="0" fontId="29" fillId="0" borderId="22" xfId="0" applyFont="1" applyBorder="1" applyAlignment="1">
      <alignment horizontal="left" vertical="center" wrapText="1"/>
    </xf>
    <xf numFmtId="0" fontId="9" fillId="0" borderId="22" xfId="0" applyFont="1" applyBorder="1" applyAlignment="1">
      <alignment horizontal="left"/>
    </xf>
    <xf numFmtId="0" fontId="28" fillId="0" borderId="2" xfId="0" applyFont="1" applyBorder="1" applyAlignment="1">
      <alignment horizontal="left" vertical="center"/>
    </xf>
    <xf numFmtId="0" fontId="28" fillId="0" borderId="15" xfId="0" applyFont="1" applyBorder="1" applyAlignment="1">
      <alignment horizontal="left" vertical="center"/>
    </xf>
    <xf numFmtId="0" fontId="28" fillId="0" borderId="3" xfId="0" applyFont="1" applyBorder="1" applyAlignment="1">
      <alignment horizontal="left" vertical="center"/>
    </xf>
    <xf numFmtId="0" fontId="29" fillId="0" borderId="2" xfId="0" applyFont="1" applyBorder="1" applyAlignment="1">
      <alignment horizontal="left" vertical="center"/>
    </xf>
    <xf numFmtId="0" fontId="29" fillId="0" borderId="15" xfId="0" applyFont="1" applyBorder="1" applyAlignment="1">
      <alignment horizontal="left" vertical="center"/>
    </xf>
    <xf numFmtId="0" fontId="29" fillId="0" borderId="3" xfId="0" applyFont="1" applyBorder="1" applyAlignment="1">
      <alignment horizontal="left" vertical="center"/>
    </xf>
    <xf numFmtId="0" fontId="16" fillId="0" borderId="2" xfId="0" applyFont="1" applyBorder="1" applyAlignment="1">
      <alignment horizontal="left"/>
    </xf>
    <xf numFmtId="0" fontId="16" fillId="0" borderId="15" xfId="0" applyFont="1" applyBorder="1" applyAlignment="1">
      <alignment horizontal="left"/>
    </xf>
    <xf numFmtId="0" fontId="16" fillId="0" borderId="3" xfId="0" applyFont="1" applyBorder="1" applyAlignment="1">
      <alignment horizontal="left"/>
    </xf>
    <xf numFmtId="0" fontId="49" fillId="0" borderId="0" xfId="0" applyFont="1" applyAlignment="1">
      <alignment horizontal="left" vertical="top" wrapText="1"/>
    </xf>
    <xf numFmtId="0" fontId="3" fillId="0" borderId="0" xfId="0" applyFont="1" applyAlignment="1">
      <alignment horizontal="left"/>
    </xf>
    <xf numFmtId="0" fontId="17" fillId="0" borderId="22" xfId="0" applyFont="1" applyBorder="1" applyAlignment="1">
      <alignment horizontal="center"/>
    </xf>
    <xf numFmtId="0" fontId="2" fillId="0" borderId="1" xfId="0" applyFont="1" applyBorder="1" applyAlignment="1">
      <alignment horizontal="left"/>
    </xf>
    <xf numFmtId="0" fontId="2" fillId="0" borderId="4" xfId="0" applyFont="1" applyBorder="1" applyAlignment="1">
      <alignment horizontal="left"/>
    </xf>
    <xf numFmtId="10" fontId="28" fillId="8" borderId="0" xfId="0" applyNumberFormat="1" applyFont="1" applyFill="1" applyBorder="1" applyAlignment="1">
      <alignment horizontal="center" vertical="center"/>
    </xf>
    <xf numFmtId="1" fontId="29" fillId="0" borderId="1" xfId="0" applyNumberFormat="1" applyFont="1" applyBorder="1" applyAlignment="1">
      <alignment horizontal="center" vertical="center" wrapText="1"/>
    </xf>
    <xf numFmtId="1" fontId="29" fillId="0" borderId="5" xfId="0" applyNumberFormat="1" applyFont="1" applyBorder="1" applyAlignment="1">
      <alignment horizontal="center" vertical="center" wrapText="1"/>
    </xf>
    <xf numFmtId="1" fontId="28" fillId="0" borderId="4" xfId="0" applyNumberFormat="1" applyFont="1" applyBorder="1" applyAlignment="1">
      <alignment horizontal="center" vertical="center"/>
    </xf>
    <xf numFmtId="1" fontId="28" fillId="0" borderId="0" xfId="0" applyNumberFormat="1" applyFont="1" applyAlignment="1">
      <alignment horizontal="center" vertical="center"/>
    </xf>
    <xf numFmtId="0" fontId="56" fillId="0" borderId="4" xfId="0" applyFont="1" applyBorder="1" applyAlignment="1">
      <alignment horizontal="left" vertical="center" wrapText="1"/>
    </xf>
  </cellXfs>
  <cellStyles count="2">
    <cellStyle name="Normal" xfId="0" builtinId="0"/>
    <cellStyle name="Normal 3" xfId="1" xr:uid="{BDB5D9C8-9E90-48A8-975C-B4AC0FDC07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 Id="rId4" Type="http://schemas.openxmlformats.org/officeDocument/2006/relationships/image" Target="../media/image1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0.emf"/><Relationship Id="rId2" Type="http://schemas.openxmlformats.org/officeDocument/2006/relationships/image" Target="../media/image19.emf"/><Relationship Id="rId1" Type="http://schemas.openxmlformats.org/officeDocument/2006/relationships/image" Target="../media/image18.emf"/><Relationship Id="rId4"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3</xdr:col>
          <xdr:colOff>6350</xdr:colOff>
          <xdr:row>49</xdr:row>
          <xdr:rowOff>133350</xdr:rowOff>
        </xdr:to>
        <xdr:sp macro="" textlink="">
          <xdr:nvSpPr>
            <xdr:cNvPr id="31751" name="Object 7" hidden="1">
              <a:extLst>
                <a:ext uri="{63B3BB69-23CF-44E3-9099-C40C66FF867C}">
                  <a14:compatExt spid="_x0000_s31751"/>
                </a:ext>
                <a:ext uri="{FF2B5EF4-FFF2-40B4-BE49-F238E27FC236}">
                  <a16:creationId xmlns:a16="http://schemas.microsoft.com/office/drawing/2014/main" id="{00000000-0008-0000-0300-0000077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752475</xdr:colOff>
          <xdr:row>32</xdr:row>
          <xdr:rowOff>84138</xdr:rowOff>
        </xdr:from>
        <xdr:to>
          <xdr:col>10</xdr:col>
          <xdr:colOff>755650</xdr:colOff>
          <xdr:row>48</xdr:row>
          <xdr:rowOff>173038</xdr:rowOff>
        </xdr:to>
        <xdr:sp macro="" textlink="">
          <xdr:nvSpPr>
            <xdr:cNvPr id="31753" name="Object 9" hidden="1">
              <a:extLst>
                <a:ext uri="{63B3BB69-23CF-44E3-9099-C40C66FF867C}">
                  <a14:compatExt spid="_x0000_s31753"/>
                </a:ext>
                <a:ext uri="{FF2B5EF4-FFF2-40B4-BE49-F238E27FC236}">
                  <a16:creationId xmlns:a16="http://schemas.microsoft.com/office/drawing/2014/main" id="{00000000-0008-0000-0300-0000097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749300</xdr:colOff>
          <xdr:row>33</xdr:row>
          <xdr:rowOff>25400</xdr:rowOff>
        </xdr:from>
        <xdr:to>
          <xdr:col>15</xdr:col>
          <xdr:colOff>95250</xdr:colOff>
          <xdr:row>49</xdr:row>
          <xdr:rowOff>158750</xdr:rowOff>
        </xdr:to>
        <xdr:sp macro="" textlink="">
          <xdr:nvSpPr>
            <xdr:cNvPr id="31754" name="Object 10" hidden="1">
              <a:extLst>
                <a:ext uri="{63B3BB69-23CF-44E3-9099-C40C66FF867C}">
                  <a14:compatExt spid="_x0000_s31754"/>
                </a:ext>
                <a:ext uri="{FF2B5EF4-FFF2-40B4-BE49-F238E27FC236}">
                  <a16:creationId xmlns:a16="http://schemas.microsoft.com/office/drawing/2014/main" id="{00000000-0008-0000-0300-00000A7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33</xdr:row>
          <xdr:rowOff>0</xdr:rowOff>
        </xdr:from>
        <xdr:to>
          <xdr:col>18</xdr:col>
          <xdr:colOff>685800</xdr:colOff>
          <xdr:row>49</xdr:row>
          <xdr:rowOff>133350</xdr:rowOff>
        </xdr:to>
        <xdr:sp macro="" textlink="">
          <xdr:nvSpPr>
            <xdr:cNvPr id="31755" name="Object 11" hidden="1">
              <a:extLst>
                <a:ext uri="{63B3BB69-23CF-44E3-9099-C40C66FF867C}">
                  <a14:compatExt spid="_x0000_s31755"/>
                </a:ext>
                <a:ext uri="{FF2B5EF4-FFF2-40B4-BE49-F238E27FC236}">
                  <a16:creationId xmlns:a16="http://schemas.microsoft.com/office/drawing/2014/main" id="{00000000-0008-0000-0300-00000B7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666750</xdr:colOff>
          <xdr:row>33</xdr:row>
          <xdr:rowOff>0</xdr:rowOff>
        </xdr:from>
        <xdr:to>
          <xdr:col>27</xdr:col>
          <xdr:colOff>196850</xdr:colOff>
          <xdr:row>49</xdr:row>
          <xdr:rowOff>133350</xdr:rowOff>
        </xdr:to>
        <xdr:sp macro="" textlink="">
          <xdr:nvSpPr>
            <xdr:cNvPr id="31757" name="Object 13" hidden="1">
              <a:extLst>
                <a:ext uri="{63B3BB69-23CF-44E3-9099-C40C66FF867C}">
                  <a14:compatExt spid="_x0000_s31757"/>
                </a:ext>
                <a:ext uri="{FF2B5EF4-FFF2-40B4-BE49-F238E27FC236}">
                  <a16:creationId xmlns:a16="http://schemas.microsoft.com/office/drawing/2014/main" id="{00000000-0008-0000-0300-00000D7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25400</xdr:colOff>
          <xdr:row>32</xdr:row>
          <xdr:rowOff>133350</xdr:rowOff>
        </xdr:from>
        <xdr:to>
          <xdr:col>46</xdr:col>
          <xdr:colOff>736600</xdr:colOff>
          <xdr:row>49</xdr:row>
          <xdr:rowOff>95250</xdr:rowOff>
        </xdr:to>
        <xdr:sp macro="" textlink="">
          <xdr:nvSpPr>
            <xdr:cNvPr id="31760" name="Object 16" hidden="1">
              <a:extLst>
                <a:ext uri="{63B3BB69-23CF-44E3-9099-C40C66FF867C}">
                  <a14:compatExt spid="_x0000_s31760"/>
                </a:ext>
                <a:ext uri="{FF2B5EF4-FFF2-40B4-BE49-F238E27FC236}">
                  <a16:creationId xmlns:a16="http://schemas.microsoft.com/office/drawing/2014/main" id="{00000000-0008-0000-0300-0000107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33</xdr:row>
          <xdr:rowOff>0</xdr:rowOff>
        </xdr:from>
        <xdr:to>
          <xdr:col>50</xdr:col>
          <xdr:colOff>565150</xdr:colOff>
          <xdr:row>49</xdr:row>
          <xdr:rowOff>133350</xdr:rowOff>
        </xdr:to>
        <xdr:sp macro="" textlink="">
          <xdr:nvSpPr>
            <xdr:cNvPr id="31761" name="Object 17" hidden="1">
              <a:extLst>
                <a:ext uri="{63B3BB69-23CF-44E3-9099-C40C66FF867C}">
                  <a14:compatExt spid="_x0000_s31761"/>
                </a:ext>
                <a:ext uri="{FF2B5EF4-FFF2-40B4-BE49-F238E27FC236}">
                  <a16:creationId xmlns:a16="http://schemas.microsoft.com/office/drawing/2014/main" id="{00000000-0008-0000-0300-0000117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32</xdr:row>
          <xdr:rowOff>158750</xdr:rowOff>
        </xdr:from>
        <xdr:to>
          <xdr:col>7</xdr:col>
          <xdr:colOff>50800</xdr:colOff>
          <xdr:row>49</xdr:row>
          <xdr:rowOff>120650</xdr:rowOff>
        </xdr:to>
        <xdr:sp macro="" textlink="">
          <xdr:nvSpPr>
            <xdr:cNvPr id="31762" name="Object 18" hidden="1">
              <a:extLst>
                <a:ext uri="{63B3BB69-23CF-44E3-9099-C40C66FF867C}">
                  <a14:compatExt spid="_x0000_s31762"/>
                </a:ext>
                <a:ext uri="{FF2B5EF4-FFF2-40B4-BE49-F238E27FC236}">
                  <a16:creationId xmlns:a16="http://schemas.microsoft.com/office/drawing/2014/main" id="{00000000-0008-0000-0300-0000127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0</xdr:rowOff>
        </xdr:from>
        <xdr:to>
          <xdr:col>22</xdr:col>
          <xdr:colOff>755650</xdr:colOff>
          <xdr:row>49</xdr:row>
          <xdr:rowOff>139700</xdr:rowOff>
        </xdr:to>
        <xdr:sp macro="" textlink="">
          <xdr:nvSpPr>
            <xdr:cNvPr id="31763" name="Object 19" hidden="1">
              <a:extLst>
                <a:ext uri="{63B3BB69-23CF-44E3-9099-C40C66FF867C}">
                  <a14:compatExt spid="_x0000_s31763"/>
                </a:ext>
                <a:ext uri="{FF2B5EF4-FFF2-40B4-BE49-F238E27FC236}">
                  <a16:creationId xmlns:a16="http://schemas.microsoft.com/office/drawing/2014/main" id="{00000000-0008-0000-0300-0000137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88900</xdr:colOff>
          <xdr:row>33</xdr:row>
          <xdr:rowOff>0</xdr:rowOff>
        </xdr:from>
        <xdr:to>
          <xdr:col>31</xdr:col>
          <xdr:colOff>177800</xdr:colOff>
          <xdr:row>49</xdr:row>
          <xdr:rowOff>133350</xdr:rowOff>
        </xdr:to>
        <xdr:sp macro="" textlink="">
          <xdr:nvSpPr>
            <xdr:cNvPr id="31764" name="Object 20" hidden="1">
              <a:extLst>
                <a:ext uri="{63B3BB69-23CF-44E3-9099-C40C66FF867C}">
                  <a14:compatExt spid="_x0000_s31764"/>
                </a:ext>
                <a:ext uri="{FF2B5EF4-FFF2-40B4-BE49-F238E27FC236}">
                  <a16:creationId xmlns:a16="http://schemas.microsoft.com/office/drawing/2014/main" id="{00000000-0008-0000-0300-0000147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33</xdr:row>
          <xdr:rowOff>0</xdr:rowOff>
        </xdr:from>
        <xdr:to>
          <xdr:col>35</xdr:col>
          <xdr:colOff>247650</xdr:colOff>
          <xdr:row>49</xdr:row>
          <xdr:rowOff>133350</xdr:rowOff>
        </xdr:to>
        <xdr:sp macro="" textlink="">
          <xdr:nvSpPr>
            <xdr:cNvPr id="31765" name="Object 21" hidden="1">
              <a:extLst>
                <a:ext uri="{63B3BB69-23CF-44E3-9099-C40C66FF867C}">
                  <a14:compatExt spid="_x0000_s31765"/>
                </a:ext>
                <a:ext uri="{FF2B5EF4-FFF2-40B4-BE49-F238E27FC236}">
                  <a16:creationId xmlns:a16="http://schemas.microsoft.com/office/drawing/2014/main" id="{00000000-0008-0000-0300-0000157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33</xdr:row>
          <xdr:rowOff>0</xdr:rowOff>
        </xdr:from>
        <xdr:to>
          <xdr:col>39</xdr:col>
          <xdr:colOff>38100</xdr:colOff>
          <xdr:row>49</xdr:row>
          <xdr:rowOff>133350</xdr:rowOff>
        </xdr:to>
        <xdr:sp macro="" textlink="">
          <xdr:nvSpPr>
            <xdr:cNvPr id="31766" name="Object 22" hidden="1">
              <a:extLst>
                <a:ext uri="{63B3BB69-23CF-44E3-9099-C40C66FF867C}">
                  <a14:compatExt spid="_x0000_s31766"/>
                </a:ext>
                <a:ext uri="{FF2B5EF4-FFF2-40B4-BE49-F238E27FC236}">
                  <a16:creationId xmlns:a16="http://schemas.microsoft.com/office/drawing/2014/main" id="{00000000-0008-0000-0300-0000167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33</xdr:row>
          <xdr:rowOff>0</xdr:rowOff>
        </xdr:from>
        <xdr:to>
          <xdr:col>42</xdr:col>
          <xdr:colOff>647700</xdr:colOff>
          <xdr:row>49</xdr:row>
          <xdr:rowOff>133350</xdr:rowOff>
        </xdr:to>
        <xdr:sp macro="" textlink="">
          <xdr:nvSpPr>
            <xdr:cNvPr id="31767" name="Object 23" hidden="1">
              <a:extLst>
                <a:ext uri="{63B3BB69-23CF-44E3-9099-C40C66FF867C}">
                  <a14:compatExt spid="_x0000_s31767"/>
                </a:ext>
                <a:ext uri="{FF2B5EF4-FFF2-40B4-BE49-F238E27FC236}">
                  <a16:creationId xmlns:a16="http://schemas.microsoft.com/office/drawing/2014/main" id="{00000000-0008-0000-0300-0000177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57150</xdr:colOff>
          <xdr:row>2</xdr:row>
          <xdr:rowOff>6350</xdr:rowOff>
        </xdr:from>
        <xdr:to>
          <xdr:col>17</xdr:col>
          <xdr:colOff>38100</xdr:colOff>
          <xdr:row>18</xdr:row>
          <xdr:rowOff>133350</xdr:rowOff>
        </xdr:to>
        <xdr:sp macro="" textlink="">
          <xdr:nvSpPr>
            <xdr:cNvPr id="30724" name="Object 4" hidden="1">
              <a:extLst>
                <a:ext uri="{63B3BB69-23CF-44E3-9099-C40C66FF867C}">
                  <a14:compatExt spid="_x0000_s30724"/>
                </a:ext>
                <a:ext uri="{FF2B5EF4-FFF2-40B4-BE49-F238E27FC236}">
                  <a16:creationId xmlns:a16="http://schemas.microsoft.com/office/drawing/2014/main" id="{00000000-0008-0000-0700-0000047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0</xdr:rowOff>
        </xdr:from>
        <xdr:to>
          <xdr:col>17</xdr:col>
          <xdr:colOff>139700</xdr:colOff>
          <xdr:row>39</xdr:row>
          <xdr:rowOff>133350</xdr:rowOff>
        </xdr:to>
        <xdr:sp macro="" textlink="">
          <xdr:nvSpPr>
            <xdr:cNvPr id="30725" name="Object 5" hidden="1">
              <a:extLst>
                <a:ext uri="{63B3BB69-23CF-44E3-9099-C40C66FF867C}">
                  <a14:compatExt spid="_x0000_s30725"/>
                </a:ext>
                <a:ext uri="{FF2B5EF4-FFF2-40B4-BE49-F238E27FC236}">
                  <a16:creationId xmlns:a16="http://schemas.microsoft.com/office/drawing/2014/main" id="{00000000-0008-0000-0700-0000057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17</xdr:col>
          <xdr:colOff>139700</xdr:colOff>
          <xdr:row>61</xdr:row>
          <xdr:rowOff>133350</xdr:rowOff>
        </xdr:to>
        <xdr:sp macro="" textlink="">
          <xdr:nvSpPr>
            <xdr:cNvPr id="30726" name="Object 6" hidden="1">
              <a:extLst>
                <a:ext uri="{63B3BB69-23CF-44E3-9099-C40C66FF867C}">
                  <a14:compatExt spid="_x0000_s30726"/>
                </a:ext>
                <a:ext uri="{FF2B5EF4-FFF2-40B4-BE49-F238E27FC236}">
                  <a16:creationId xmlns:a16="http://schemas.microsoft.com/office/drawing/2014/main" id="{00000000-0008-0000-0700-0000067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0</xdr:rowOff>
        </xdr:from>
        <xdr:to>
          <xdr:col>17</xdr:col>
          <xdr:colOff>101600</xdr:colOff>
          <xdr:row>85</xdr:row>
          <xdr:rowOff>127000</xdr:rowOff>
        </xdr:to>
        <xdr:sp macro="" textlink="">
          <xdr:nvSpPr>
            <xdr:cNvPr id="30727" name="Object 7" hidden="1">
              <a:extLst>
                <a:ext uri="{63B3BB69-23CF-44E3-9099-C40C66FF867C}">
                  <a14:compatExt spid="_x0000_s30727"/>
                </a:ext>
                <a:ext uri="{FF2B5EF4-FFF2-40B4-BE49-F238E27FC236}">
                  <a16:creationId xmlns:a16="http://schemas.microsoft.com/office/drawing/2014/main" id="{00000000-0008-0000-0700-0000077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57150</xdr:colOff>
          <xdr:row>0</xdr:row>
          <xdr:rowOff>431800</xdr:rowOff>
        </xdr:from>
        <xdr:to>
          <xdr:col>31</xdr:col>
          <xdr:colOff>450850</xdr:colOff>
          <xdr:row>17</xdr:row>
          <xdr:rowOff>127000</xdr:rowOff>
        </xdr:to>
        <xdr:sp macro="" textlink="">
          <xdr:nvSpPr>
            <xdr:cNvPr id="25608" name="Object 8" hidden="1">
              <a:extLst>
                <a:ext uri="{63B3BB69-23CF-44E3-9099-C40C66FF867C}">
                  <a14:compatExt spid="_x0000_s25608"/>
                </a:ext>
                <a:ext uri="{FF2B5EF4-FFF2-40B4-BE49-F238E27FC236}">
                  <a16:creationId xmlns:a16="http://schemas.microsoft.com/office/drawing/2014/main" id="{00000000-0008-0000-0800-0000086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24</xdr:row>
          <xdr:rowOff>12700</xdr:rowOff>
        </xdr:from>
        <xdr:to>
          <xdr:col>31</xdr:col>
          <xdr:colOff>533400</xdr:colOff>
          <xdr:row>40</xdr:row>
          <xdr:rowOff>146050</xdr:rowOff>
        </xdr:to>
        <xdr:sp macro="" textlink="">
          <xdr:nvSpPr>
            <xdr:cNvPr id="25609" name="Object 9" hidden="1">
              <a:extLst>
                <a:ext uri="{63B3BB69-23CF-44E3-9099-C40C66FF867C}">
                  <a14:compatExt spid="_x0000_s25609"/>
                </a:ext>
                <a:ext uri="{FF2B5EF4-FFF2-40B4-BE49-F238E27FC236}">
                  <a16:creationId xmlns:a16="http://schemas.microsoft.com/office/drawing/2014/main" id="{00000000-0008-0000-0800-0000096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46</xdr:row>
          <xdr:rowOff>44450</xdr:rowOff>
        </xdr:from>
        <xdr:to>
          <xdr:col>31</xdr:col>
          <xdr:colOff>463550</xdr:colOff>
          <xdr:row>61</xdr:row>
          <xdr:rowOff>0</xdr:rowOff>
        </xdr:to>
        <xdr:sp macro="" textlink="">
          <xdr:nvSpPr>
            <xdr:cNvPr id="25610" name="Object 10" hidden="1">
              <a:extLst>
                <a:ext uri="{63B3BB69-23CF-44E3-9099-C40C66FF867C}">
                  <a14:compatExt spid="_x0000_s25610"/>
                </a:ext>
                <a:ext uri="{FF2B5EF4-FFF2-40B4-BE49-F238E27FC236}">
                  <a16:creationId xmlns:a16="http://schemas.microsoft.com/office/drawing/2014/main" id="{00000000-0008-0000-0800-00000A6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69</xdr:row>
          <xdr:rowOff>0</xdr:rowOff>
        </xdr:from>
        <xdr:to>
          <xdr:col>31</xdr:col>
          <xdr:colOff>304800</xdr:colOff>
          <xdr:row>85</xdr:row>
          <xdr:rowOff>82550</xdr:rowOff>
        </xdr:to>
        <xdr:sp macro="" textlink="">
          <xdr:nvSpPr>
            <xdr:cNvPr id="25611" name="Object 11" hidden="1">
              <a:extLst>
                <a:ext uri="{63B3BB69-23CF-44E3-9099-C40C66FF867C}">
                  <a14:compatExt spid="_x0000_s25611"/>
                </a:ext>
                <a:ext uri="{FF2B5EF4-FFF2-40B4-BE49-F238E27FC236}">
                  <a16:creationId xmlns:a16="http://schemas.microsoft.com/office/drawing/2014/main" id="{00000000-0008-0000-0800-00000B6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4.bin"/><Relationship Id="rId6" Type="http://schemas.openxmlformats.org/officeDocument/2006/relationships/oleObject" Target="../embeddings/oleObject2.bin"/><Relationship Id="rId11" Type="http://schemas.openxmlformats.org/officeDocument/2006/relationships/image" Target="../media/image4.emf"/><Relationship Id="rId24" Type="http://schemas.openxmlformats.org/officeDocument/2006/relationships/oleObject" Target="../embeddings/oleObject11.bin"/><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emf"/><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emf"/></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16.bin"/><Relationship Id="rId3" Type="http://schemas.openxmlformats.org/officeDocument/2006/relationships/vmlDrawing" Target="../drawings/vmlDrawing2.vml"/><Relationship Id="rId7" Type="http://schemas.openxmlformats.org/officeDocument/2006/relationships/image" Target="../media/image15.emf"/><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15.bin"/><Relationship Id="rId11" Type="http://schemas.openxmlformats.org/officeDocument/2006/relationships/image" Target="../media/image17.emf"/><Relationship Id="rId5" Type="http://schemas.openxmlformats.org/officeDocument/2006/relationships/image" Target="../media/image14.emf"/><Relationship Id="rId10" Type="http://schemas.openxmlformats.org/officeDocument/2006/relationships/oleObject" Target="../embeddings/oleObject17.bin"/><Relationship Id="rId4" Type="http://schemas.openxmlformats.org/officeDocument/2006/relationships/oleObject" Target="../embeddings/oleObject14.bin"/><Relationship Id="rId9" Type="http://schemas.openxmlformats.org/officeDocument/2006/relationships/image" Target="../media/image16.emf"/></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oleObject" Target="../embeddings/oleObject18.bin"/><Relationship Id="rId7" Type="http://schemas.openxmlformats.org/officeDocument/2006/relationships/oleObject" Target="../embeddings/oleObject20.bin"/><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image" Target="../media/image19.emf"/><Relationship Id="rId5" Type="http://schemas.openxmlformats.org/officeDocument/2006/relationships/oleObject" Target="../embeddings/oleObject19.bin"/><Relationship Id="rId10" Type="http://schemas.openxmlformats.org/officeDocument/2006/relationships/image" Target="../media/image21.emf"/><Relationship Id="rId4" Type="http://schemas.openxmlformats.org/officeDocument/2006/relationships/image" Target="../media/image18.emf"/><Relationship Id="rId9" Type="http://schemas.openxmlformats.org/officeDocument/2006/relationships/oleObject" Target="../embeddings/oleObject2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6FED0-0699-4EBF-A15D-D44FE2DF6CC1}">
  <dimension ref="A1:AC80"/>
  <sheetViews>
    <sheetView zoomScale="80" zoomScaleNormal="80" workbookViewId="0">
      <pane ySplit="3" topLeftCell="A49" activePane="bottomLeft" state="frozen"/>
      <selection activeCell="F1" sqref="F1"/>
      <selection pane="bottomLeft" activeCell="D2" sqref="D2:D3"/>
    </sheetView>
  </sheetViews>
  <sheetFormatPr defaultRowHeight="12.5" x14ac:dyDescent="0.35"/>
  <cols>
    <col min="1" max="1" width="5" style="59" customWidth="1"/>
    <col min="2" max="2" width="6.6640625" style="59" customWidth="1"/>
    <col min="3" max="3" width="21.5" style="60" customWidth="1"/>
    <col min="4" max="5" width="11.5" style="59" customWidth="1"/>
    <col min="6" max="6" width="10.6640625" style="59" customWidth="1"/>
    <col min="7" max="7" width="12.4140625" style="59" customWidth="1"/>
    <col min="8" max="8" width="9.83203125" style="59" customWidth="1"/>
    <col min="9" max="10" width="9.75" style="59" customWidth="1"/>
    <col min="11" max="11" width="10.08203125" style="59" customWidth="1"/>
    <col min="12" max="12" width="8.6640625" style="59"/>
    <col min="13" max="13" width="10" style="59" customWidth="1"/>
    <col min="14" max="14" width="11.6640625" style="59" customWidth="1"/>
    <col min="15" max="15" width="8.6640625" style="59"/>
    <col min="16" max="16" width="6.08203125" style="59" customWidth="1"/>
    <col min="17" max="17" width="6.6640625" style="59" customWidth="1"/>
    <col min="18" max="18" width="20.4140625" style="60" customWidth="1"/>
    <col min="19" max="21" width="8.6640625" style="59"/>
    <col min="22" max="22" width="9.58203125" style="59" customWidth="1"/>
    <col min="23" max="27" width="8.6640625" style="59"/>
    <col min="28" max="28" width="9.9140625" style="590" customWidth="1"/>
    <col min="29" max="29" width="11.58203125" style="59" customWidth="1"/>
    <col min="30" max="16384" width="8.6640625" style="59"/>
  </cols>
  <sheetData>
    <row r="1" spans="1:29" s="454" customFormat="1" ht="20" x14ac:dyDescent="0.35">
      <c r="A1" s="454" t="s">
        <v>779</v>
      </c>
    </row>
    <row r="2" spans="1:29" ht="13" customHeight="1" x14ac:dyDescent="0.35">
      <c r="A2" s="464" t="s">
        <v>9</v>
      </c>
      <c r="B2" s="455" t="s">
        <v>50</v>
      </c>
      <c r="C2" s="465" t="s">
        <v>581</v>
      </c>
      <c r="D2" s="459" t="s">
        <v>782</v>
      </c>
      <c r="E2" s="455" t="s">
        <v>17</v>
      </c>
      <c r="F2" s="455" t="s">
        <v>276</v>
      </c>
      <c r="G2" s="459" t="s">
        <v>58</v>
      </c>
      <c r="H2" s="461" t="s">
        <v>290</v>
      </c>
      <c r="I2" s="462"/>
      <c r="J2" s="462"/>
      <c r="K2" s="463"/>
      <c r="L2" s="455" t="s">
        <v>815</v>
      </c>
      <c r="M2" s="459" t="s">
        <v>814</v>
      </c>
      <c r="N2" s="459" t="s">
        <v>818</v>
      </c>
      <c r="P2" s="464" t="s">
        <v>9</v>
      </c>
      <c r="Q2" s="455" t="s">
        <v>50</v>
      </c>
      <c r="R2" s="458" t="s">
        <v>454</v>
      </c>
      <c r="S2" s="455" t="s">
        <v>47</v>
      </c>
      <c r="T2" s="455" t="s">
        <v>17</v>
      </c>
      <c r="U2" s="455" t="s">
        <v>276</v>
      </c>
      <c r="V2" s="459" t="s">
        <v>58</v>
      </c>
      <c r="W2" s="461" t="s">
        <v>277</v>
      </c>
      <c r="X2" s="462"/>
      <c r="Y2" s="462"/>
      <c r="Z2" s="463"/>
      <c r="AA2" s="455" t="s">
        <v>815</v>
      </c>
      <c r="AB2" s="587" t="s">
        <v>814</v>
      </c>
      <c r="AC2" s="459" t="s">
        <v>818</v>
      </c>
    </row>
    <row r="3" spans="1:29" ht="39" customHeight="1" x14ac:dyDescent="0.35">
      <c r="A3" s="464"/>
      <c r="B3" s="456"/>
      <c r="C3" s="465"/>
      <c r="D3" s="460"/>
      <c r="E3" s="457"/>
      <c r="F3" s="456"/>
      <c r="G3" s="460"/>
      <c r="H3" s="58" t="s">
        <v>278</v>
      </c>
      <c r="I3" s="58" t="s">
        <v>279</v>
      </c>
      <c r="J3" s="58" t="s">
        <v>280</v>
      </c>
      <c r="K3" s="58" t="s">
        <v>281</v>
      </c>
      <c r="L3" s="456"/>
      <c r="M3" s="460"/>
      <c r="N3" s="460"/>
      <c r="P3" s="464"/>
      <c r="Q3" s="456"/>
      <c r="R3" s="458"/>
      <c r="S3" s="456"/>
      <c r="T3" s="457"/>
      <c r="U3" s="456"/>
      <c r="V3" s="460"/>
      <c r="W3" s="58" t="s">
        <v>278</v>
      </c>
      <c r="X3" s="58" t="s">
        <v>279</v>
      </c>
      <c r="Y3" s="58" t="s">
        <v>280</v>
      </c>
      <c r="Z3" s="58" t="s">
        <v>281</v>
      </c>
      <c r="AA3" s="456"/>
      <c r="AB3" s="588"/>
      <c r="AC3" s="460"/>
    </row>
    <row r="4" spans="1:29" s="96" customFormat="1" x14ac:dyDescent="0.25">
      <c r="A4" s="81">
        <v>1</v>
      </c>
      <c r="B4" s="69" t="s">
        <v>94</v>
      </c>
      <c r="C4" s="14" t="s">
        <v>337</v>
      </c>
      <c r="D4" s="97">
        <v>9</v>
      </c>
      <c r="E4" s="97" t="s">
        <v>18</v>
      </c>
      <c r="F4" s="95">
        <v>8</v>
      </c>
      <c r="G4" s="104">
        <v>3</v>
      </c>
      <c r="H4" s="69">
        <v>1</v>
      </c>
      <c r="I4" s="69">
        <v>1</v>
      </c>
      <c r="J4" s="69">
        <v>0</v>
      </c>
      <c r="K4" s="69">
        <v>0</v>
      </c>
      <c r="L4" s="69">
        <v>98</v>
      </c>
      <c r="M4" s="69">
        <v>162</v>
      </c>
      <c r="N4" s="69">
        <v>35</v>
      </c>
      <c r="P4" s="81">
        <v>1</v>
      </c>
      <c r="Q4" s="99" t="s">
        <v>187</v>
      </c>
      <c r="R4" s="14" t="s">
        <v>387</v>
      </c>
      <c r="S4" s="97">
        <v>5</v>
      </c>
      <c r="T4" s="97" t="s">
        <v>18</v>
      </c>
      <c r="U4" s="95">
        <v>7.1</v>
      </c>
      <c r="V4" s="104">
        <v>4</v>
      </c>
      <c r="W4" s="69">
        <v>1</v>
      </c>
      <c r="X4" s="69">
        <v>1</v>
      </c>
      <c r="Y4" s="69">
        <v>0</v>
      </c>
      <c r="Z4" s="69">
        <v>0</v>
      </c>
      <c r="AA4" s="69">
        <v>99</v>
      </c>
      <c r="AB4" s="160">
        <v>134</v>
      </c>
      <c r="AC4" s="69">
        <v>40</v>
      </c>
    </row>
    <row r="5" spans="1:29" s="96" customFormat="1" x14ac:dyDescent="0.25">
      <c r="A5" s="81">
        <v>2</v>
      </c>
      <c r="B5" s="69" t="s">
        <v>98</v>
      </c>
      <c r="C5" s="14" t="s">
        <v>343</v>
      </c>
      <c r="D5" s="97">
        <v>11</v>
      </c>
      <c r="E5" s="97" t="s">
        <v>19</v>
      </c>
      <c r="F5" s="95">
        <v>8</v>
      </c>
      <c r="G5" s="97">
        <v>2</v>
      </c>
      <c r="H5" s="69">
        <v>1</v>
      </c>
      <c r="I5" s="69">
        <v>1</v>
      </c>
      <c r="J5" s="69">
        <v>0</v>
      </c>
      <c r="K5" s="69">
        <v>0</v>
      </c>
      <c r="L5" s="69">
        <v>91</v>
      </c>
      <c r="M5" s="69">
        <v>130</v>
      </c>
      <c r="N5" s="69">
        <v>40</v>
      </c>
      <c r="P5" s="81">
        <v>2</v>
      </c>
      <c r="Q5" s="101" t="s">
        <v>188</v>
      </c>
      <c r="R5" s="14" t="s">
        <v>388</v>
      </c>
      <c r="S5" s="97">
        <v>8</v>
      </c>
      <c r="T5" s="97" t="s">
        <v>18</v>
      </c>
      <c r="U5" s="95">
        <v>8</v>
      </c>
      <c r="V5" s="104">
        <v>5</v>
      </c>
      <c r="W5" s="69">
        <v>1</v>
      </c>
      <c r="X5" s="69">
        <v>1</v>
      </c>
      <c r="Y5" s="69">
        <v>0</v>
      </c>
      <c r="Z5" s="69">
        <v>0</v>
      </c>
      <c r="AA5" s="69">
        <v>98</v>
      </c>
      <c r="AB5" s="160">
        <v>128</v>
      </c>
      <c r="AC5" s="69">
        <v>27</v>
      </c>
    </row>
    <row r="6" spans="1:29" s="96" customFormat="1" x14ac:dyDescent="0.25">
      <c r="A6" s="81">
        <v>3</v>
      </c>
      <c r="B6" s="69" t="s">
        <v>102</v>
      </c>
      <c r="C6" s="133" t="s">
        <v>344</v>
      </c>
      <c r="D6" s="97">
        <v>3</v>
      </c>
      <c r="E6" s="97" t="s">
        <v>19</v>
      </c>
      <c r="F6" s="95">
        <v>5</v>
      </c>
      <c r="G6" s="97">
        <v>2</v>
      </c>
      <c r="H6" s="69">
        <v>1</v>
      </c>
      <c r="I6" s="69">
        <v>1</v>
      </c>
      <c r="J6" s="69">
        <v>0</v>
      </c>
      <c r="K6" s="69">
        <v>0</v>
      </c>
      <c r="L6" s="69">
        <v>90</v>
      </c>
      <c r="M6" s="69">
        <v>156</v>
      </c>
      <c r="N6" s="69">
        <v>55</v>
      </c>
      <c r="P6" s="81">
        <v>3</v>
      </c>
      <c r="Q6" s="101" t="s">
        <v>189</v>
      </c>
      <c r="R6" s="14" t="s">
        <v>389</v>
      </c>
      <c r="S6" s="97">
        <v>4</v>
      </c>
      <c r="T6" s="97" t="s">
        <v>18</v>
      </c>
      <c r="U6" s="95">
        <v>6</v>
      </c>
      <c r="V6" s="97">
        <v>5</v>
      </c>
      <c r="W6" s="69">
        <v>1</v>
      </c>
      <c r="X6" s="69">
        <v>1</v>
      </c>
      <c r="Y6" s="69">
        <v>0</v>
      </c>
      <c r="Z6" s="69">
        <v>1</v>
      </c>
      <c r="AA6" s="69">
        <v>90</v>
      </c>
      <c r="AB6" s="160">
        <v>160</v>
      </c>
      <c r="AC6" s="69">
        <v>56</v>
      </c>
    </row>
    <row r="7" spans="1:29" s="96" customFormat="1" x14ac:dyDescent="0.25">
      <c r="A7" s="81">
        <v>4</v>
      </c>
      <c r="B7" s="69" t="s">
        <v>105</v>
      </c>
      <c r="C7" s="14" t="s">
        <v>338</v>
      </c>
      <c r="D7" s="97">
        <v>8</v>
      </c>
      <c r="E7" s="97" t="s">
        <v>18</v>
      </c>
      <c r="F7" s="95">
        <v>8.1</v>
      </c>
      <c r="G7" s="104">
        <v>2</v>
      </c>
      <c r="H7" s="69">
        <v>1</v>
      </c>
      <c r="I7" s="69">
        <v>1</v>
      </c>
      <c r="J7" s="69">
        <v>0</v>
      </c>
      <c r="K7" s="69">
        <v>0</v>
      </c>
      <c r="L7" s="69">
        <v>99</v>
      </c>
      <c r="M7" s="69">
        <v>134</v>
      </c>
      <c r="N7" s="69">
        <v>38</v>
      </c>
      <c r="P7" s="81">
        <v>4</v>
      </c>
      <c r="Q7" s="101" t="s">
        <v>190</v>
      </c>
      <c r="R7" s="14" t="s">
        <v>390</v>
      </c>
      <c r="S7" s="97">
        <v>12</v>
      </c>
      <c r="T7" s="97" t="s">
        <v>18</v>
      </c>
      <c r="U7" s="95">
        <v>9.4</v>
      </c>
      <c r="V7" s="104">
        <v>2</v>
      </c>
      <c r="W7" s="69">
        <v>1</v>
      </c>
      <c r="X7" s="69">
        <v>1</v>
      </c>
      <c r="Y7" s="69">
        <v>0</v>
      </c>
      <c r="Z7" s="69">
        <v>0</v>
      </c>
      <c r="AA7" s="69">
        <v>91</v>
      </c>
      <c r="AB7" s="160">
        <v>147</v>
      </c>
      <c r="AC7" s="69">
        <v>42</v>
      </c>
    </row>
    <row r="8" spans="1:29" s="96" customFormat="1" x14ac:dyDescent="0.25">
      <c r="A8" s="81">
        <v>5</v>
      </c>
      <c r="B8" s="69" t="s">
        <v>108</v>
      </c>
      <c r="C8" s="133" t="s">
        <v>339</v>
      </c>
      <c r="D8" s="98">
        <v>10</v>
      </c>
      <c r="E8" s="97" t="s">
        <v>18</v>
      </c>
      <c r="F8" s="95">
        <v>7.5</v>
      </c>
      <c r="G8" s="96">
        <v>2</v>
      </c>
      <c r="H8" s="69">
        <v>1</v>
      </c>
      <c r="I8" s="69">
        <v>1</v>
      </c>
      <c r="J8" s="69">
        <v>0</v>
      </c>
      <c r="K8" s="69">
        <v>0</v>
      </c>
      <c r="L8" s="69">
        <v>97</v>
      </c>
      <c r="M8" s="69">
        <v>140</v>
      </c>
      <c r="N8" s="69">
        <v>40</v>
      </c>
      <c r="P8" s="81">
        <v>5</v>
      </c>
      <c r="Q8" s="101" t="s">
        <v>191</v>
      </c>
      <c r="R8" s="14" t="s">
        <v>391</v>
      </c>
      <c r="S8" s="97">
        <v>15</v>
      </c>
      <c r="T8" s="97" t="s">
        <v>18</v>
      </c>
      <c r="U8" s="95">
        <v>7</v>
      </c>
      <c r="V8" s="97">
        <v>2</v>
      </c>
      <c r="W8" s="69">
        <v>1</v>
      </c>
      <c r="X8" s="69">
        <v>1</v>
      </c>
      <c r="Y8" s="69">
        <v>0</v>
      </c>
      <c r="Z8" s="69">
        <v>0</v>
      </c>
      <c r="AA8" s="69">
        <v>91</v>
      </c>
      <c r="AB8" s="160">
        <v>127</v>
      </c>
      <c r="AC8" s="69">
        <v>43</v>
      </c>
    </row>
    <row r="9" spans="1:29" s="96" customFormat="1" x14ac:dyDescent="0.25">
      <c r="A9" s="81">
        <v>6</v>
      </c>
      <c r="B9" s="69" t="s">
        <v>109</v>
      </c>
      <c r="C9" s="142" t="s">
        <v>345</v>
      </c>
      <c r="D9" s="97">
        <v>1</v>
      </c>
      <c r="E9" s="97" t="s">
        <v>18</v>
      </c>
      <c r="F9" s="95">
        <v>9.5</v>
      </c>
      <c r="G9" s="97">
        <v>2</v>
      </c>
      <c r="H9" s="69">
        <v>1</v>
      </c>
      <c r="I9" s="69">
        <v>1</v>
      </c>
      <c r="J9" s="69">
        <v>0</v>
      </c>
      <c r="K9" s="69">
        <v>1</v>
      </c>
      <c r="L9" s="69">
        <v>92</v>
      </c>
      <c r="M9" s="69">
        <v>168</v>
      </c>
      <c r="N9" s="69">
        <v>45</v>
      </c>
      <c r="P9" s="81">
        <v>6</v>
      </c>
      <c r="Q9" s="101" t="s">
        <v>192</v>
      </c>
      <c r="R9" s="14" t="s">
        <v>392</v>
      </c>
      <c r="S9" s="97">
        <v>2</v>
      </c>
      <c r="T9" s="97" t="s">
        <v>18</v>
      </c>
      <c r="U9" s="95">
        <v>4.9000000000000004</v>
      </c>
      <c r="V9" s="104">
        <v>3</v>
      </c>
      <c r="W9" s="69">
        <v>1</v>
      </c>
      <c r="X9" s="69">
        <v>1</v>
      </c>
      <c r="Y9" s="69">
        <v>0</v>
      </c>
      <c r="Z9" s="69">
        <v>1</v>
      </c>
      <c r="AA9" s="69">
        <v>89</v>
      </c>
      <c r="AB9" s="160">
        <v>150</v>
      </c>
      <c r="AC9" s="69">
        <v>55</v>
      </c>
    </row>
    <row r="10" spans="1:29" s="96" customFormat="1" x14ac:dyDescent="0.25">
      <c r="A10" s="81">
        <v>7</v>
      </c>
      <c r="B10" s="69" t="s">
        <v>113</v>
      </c>
      <c r="C10" s="142" t="s">
        <v>346</v>
      </c>
      <c r="D10" s="97">
        <v>1</v>
      </c>
      <c r="E10" s="97" t="s">
        <v>18</v>
      </c>
      <c r="F10" s="95">
        <v>5</v>
      </c>
      <c r="G10" s="97">
        <v>4</v>
      </c>
      <c r="H10" s="69">
        <v>1</v>
      </c>
      <c r="I10" s="69">
        <v>1</v>
      </c>
      <c r="J10" s="69">
        <v>0</v>
      </c>
      <c r="K10" s="69">
        <v>0</v>
      </c>
      <c r="L10" s="69">
        <v>91</v>
      </c>
      <c r="M10" s="69">
        <v>140</v>
      </c>
      <c r="N10" s="69">
        <v>45</v>
      </c>
      <c r="P10" s="81">
        <v>7</v>
      </c>
      <c r="Q10" s="101" t="s">
        <v>193</v>
      </c>
      <c r="R10" s="14" t="s">
        <v>393</v>
      </c>
      <c r="S10" s="97">
        <v>5</v>
      </c>
      <c r="T10" s="97" t="s">
        <v>19</v>
      </c>
      <c r="U10" s="95">
        <v>6.6</v>
      </c>
      <c r="V10" s="97">
        <v>4</v>
      </c>
      <c r="W10" s="69">
        <v>1</v>
      </c>
      <c r="X10" s="69">
        <v>1</v>
      </c>
      <c r="Y10" s="69">
        <v>0</v>
      </c>
      <c r="Z10" s="69">
        <v>0</v>
      </c>
      <c r="AA10" s="69">
        <v>89</v>
      </c>
      <c r="AB10" s="160">
        <v>120</v>
      </c>
      <c r="AC10" s="69">
        <v>42</v>
      </c>
    </row>
    <row r="11" spans="1:29" s="96" customFormat="1" x14ac:dyDescent="0.25">
      <c r="A11" s="81">
        <v>8</v>
      </c>
      <c r="B11" s="69" t="s">
        <v>117</v>
      </c>
      <c r="C11" s="14" t="s">
        <v>347</v>
      </c>
      <c r="D11" s="100">
        <v>23</v>
      </c>
      <c r="E11" s="99" t="s">
        <v>19</v>
      </c>
      <c r="F11" s="95">
        <v>10</v>
      </c>
      <c r="G11" s="105">
        <v>6</v>
      </c>
      <c r="H11" s="69">
        <v>1</v>
      </c>
      <c r="I11" s="69">
        <v>1</v>
      </c>
      <c r="J11" s="69">
        <v>0</v>
      </c>
      <c r="K11" s="69">
        <v>1</v>
      </c>
      <c r="L11" s="69">
        <v>91</v>
      </c>
      <c r="M11" s="69">
        <v>175</v>
      </c>
      <c r="N11" s="69">
        <v>45</v>
      </c>
      <c r="P11" s="81">
        <v>8</v>
      </c>
      <c r="Q11" s="106" t="s">
        <v>194</v>
      </c>
      <c r="R11" s="142" t="s">
        <v>394</v>
      </c>
      <c r="S11" s="97">
        <v>3</v>
      </c>
      <c r="T11" s="97" t="s">
        <v>18</v>
      </c>
      <c r="U11" s="95">
        <v>7</v>
      </c>
      <c r="V11" s="97">
        <v>6</v>
      </c>
      <c r="W11" s="69">
        <v>1</v>
      </c>
      <c r="X11" s="69">
        <v>1</v>
      </c>
      <c r="Y11" s="69">
        <v>1</v>
      </c>
      <c r="Z11" s="69">
        <v>0</v>
      </c>
      <c r="AA11" s="69">
        <v>94</v>
      </c>
      <c r="AB11" s="160">
        <v>165</v>
      </c>
      <c r="AC11" s="69">
        <v>39</v>
      </c>
    </row>
    <row r="12" spans="1:29" s="96" customFormat="1" x14ac:dyDescent="0.25">
      <c r="A12" s="81">
        <v>9</v>
      </c>
      <c r="B12" s="69" t="s">
        <v>119</v>
      </c>
      <c r="C12" s="142" t="s">
        <v>348</v>
      </c>
      <c r="D12" s="102">
        <v>1</v>
      </c>
      <c r="E12" s="101" t="s">
        <v>19</v>
      </c>
      <c r="F12" s="95">
        <v>4</v>
      </c>
      <c r="G12" s="101">
        <v>3</v>
      </c>
      <c r="H12" s="69">
        <v>1</v>
      </c>
      <c r="I12" s="69">
        <v>1</v>
      </c>
      <c r="J12" s="69">
        <v>0</v>
      </c>
      <c r="K12" s="69">
        <v>0</v>
      </c>
      <c r="L12" s="69">
        <v>90</v>
      </c>
      <c r="M12" s="69">
        <v>173</v>
      </c>
      <c r="N12" s="69">
        <v>55</v>
      </c>
      <c r="P12" s="81">
        <v>9</v>
      </c>
      <c r="Q12" s="101" t="s">
        <v>195</v>
      </c>
      <c r="R12" s="14" t="s">
        <v>395</v>
      </c>
      <c r="S12" s="97">
        <v>2</v>
      </c>
      <c r="T12" s="97" t="s">
        <v>19</v>
      </c>
      <c r="U12" s="95">
        <v>5.0999999999999996</v>
      </c>
      <c r="V12" s="97">
        <v>3</v>
      </c>
      <c r="W12" s="69">
        <v>1</v>
      </c>
      <c r="X12" s="69">
        <v>1</v>
      </c>
      <c r="Y12" s="69">
        <v>0</v>
      </c>
      <c r="Z12" s="69">
        <v>0</v>
      </c>
      <c r="AA12" s="69">
        <v>90</v>
      </c>
      <c r="AB12" s="160">
        <v>152</v>
      </c>
      <c r="AC12" s="69">
        <v>42</v>
      </c>
    </row>
    <row r="13" spans="1:29" s="96" customFormat="1" x14ac:dyDescent="0.25">
      <c r="A13" s="81">
        <v>10</v>
      </c>
      <c r="B13" s="69" t="s">
        <v>123</v>
      </c>
      <c r="C13" s="142" t="s">
        <v>349</v>
      </c>
      <c r="D13" s="97">
        <v>1</v>
      </c>
      <c r="E13" s="97" t="s">
        <v>18</v>
      </c>
      <c r="F13" s="95">
        <v>5</v>
      </c>
      <c r="G13" s="97">
        <v>3</v>
      </c>
      <c r="H13" s="69">
        <v>1</v>
      </c>
      <c r="I13" s="69">
        <v>1</v>
      </c>
      <c r="J13" s="69">
        <v>0</v>
      </c>
      <c r="K13" s="69">
        <v>1</v>
      </c>
      <c r="L13" s="69">
        <v>89</v>
      </c>
      <c r="M13" s="69">
        <v>150</v>
      </c>
      <c r="N13" s="69">
        <v>65</v>
      </c>
      <c r="P13" s="81">
        <v>10</v>
      </c>
      <c r="Q13" s="101" t="s">
        <v>196</v>
      </c>
      <c r="R13" s="14" t="s">
        <v>396</v>
      </c>
      <c r="S13" s="98">
        <v>7</v>
      </c>
      <c r="T13" s="97" t="s">
        <v>19</v>
      </c>
      <c r="U13" s="95">
        <v>9</v>
      </c>
      <c r="V13" s="97">
        <v>7</v>
      </c>
      <c r="W13" s="69">
        <v>0</v>
      </c>
      <c r="X13" s="69">
        <v>0</v>
      </c>
      <c r="Y13" s="69">
        <v>0</v>
      </c>
      <c r="Z13" s="69">
        <v>0</v>
      </c>
      <c r="AA13" s="69">
        <v>91</v>
      </c>
      <c r="AB13" s="160">
        <v>200</v>
      </c>
      <c r="AC13" s="69">
        <v>45</v>
      </c>
    </row>
    <row r="14" spans="1:29" s="96" customFormat="1" x14ac:dyDescent="0.25">
      <c r="A14" s="81">
        <v>11</v>
      </c>
      <c r="B14" s="69" t="s">
        <v>173</v>
      </c>
      <c r="C14" s="14" t="s">
        <v>350</v>
      </c>
      <c r="D14" s="98">
        <v>8</v>
      </c>
      <c r="E14" s="97" t="s">
        <v>18</v>
      </c>
      <c r="F14" s="95">
        <v>7.8</v>
      </c>
      <c r="G14" s="97">
        <v>3</v>
      </c>
      <c r="H14" s="69">
        <v>1</v>
      </c>
      <c r="I14" s="69">
        <v>1</v>
      </c>
      <c r="J14" s="69">
        <v>0</v>
      </c>
      <c r="K14" s="69">
        <v>1</v>
      </c>
      <c r="L14" s="69">
        <v>88</v>
      </c>
      <c r="M14" s="69">
        <v>178</v>
      </c>
      <c r="N14" s="69">
        <v>50</v>
      </c>
      <c r="P14" s="81">
        <v>11</v>
      </c>
      <c r="Q14" s="97" t="s">
        <v>197</v>
      </c>
      <c r="R14" s="14" t="s">
        <v>397</v>
      </c>
      <c r="S14" s="98">
        <v>1</v>
      </c>
      <c r="T14" s="97" t="s">
        <v>18</v>
      </c>
      <c r="U14" s="95">
        <v>5</v>
      </c>
      <c r="V14" s="97">
        <v>4</v>
      </c>
      <c r="W14" s="69">
        <v>1</v>
      </c>
      <c r="X14" s="69">
        <v>1</v>
      </c>
      <c r="Y14" s="69">
        <v>0</v>
      </c>
      <c r="Z14" s="69">
        <v>1</v>
      </c>
      <c r="AA14" s="69">
        <v>80</v>
      </c>
      <c r="AB14" s="160">
        <v>140</v>
      </c>
      <c r="AC14" s="69">
        <v>60</v>
      </c>
    </row>
    <row r="15" spans="1:29" s="96" customFormat="1" x14ac:dyDescent="0.25">
      <c r="A15" s="81">
        <v>12</v>
      </c>
      <c r="B15" s="69" t="s">
        <v>126</v>
      </c>
      <c r="C15" s="14" t="s">
        <v>351</v>
      </c>
      <c r="D15" s="97">
        <v>5</v>
      </c>
      <c r="E15" s="97" t="s">
        <v>18</v>
      </c>
      <c r="F15" s="95">
        <v>7</v>
      </c>
      <c r="G15" s="104">
        <v>3</v>
      </c>
      <c r="H15" s="69">
        <v>1</v>
      </c>
      <c r="I15" s="69">
        <v>1</v>
      </c>
      <c r="J15" s="69">
        <v>0</v>
      </c>
      <c r="K15" s="69">
        <v>1</v>
      </c>
      <c r="L15" s="69">
        <v>88</v>
      </c>
      <c r="M15" s="69">
        <v>170</v>
      </c>
      <c r="N15" s="69">
        <v>65</v>
      </c>
      <c r="P15" s="81">
        <v>12</v>
      </c>
      <c r="Q15" s="97" t="s">
        <v>198</v>
      </c>
      <c r="R15" s="14" t="s">
        <v>398</v>
      </c>
      <c r="S15" s="97">
        <v>1</v>
      </c>
      <c r="T15" s="97" t="s">
        <v>19</v>
      </c>
      <c r="U15" s="95">
        <v>8</v>
      </c>
      <c r="V15" s="97">
        <v>2</v>
      </c>
      <c r="W15" s="69">
        <v>1</v>
      </c>
      <c r="X15" s="69">
        <v>0</v>
      </c>
      <c r="Y15" s="69">
        <v>0</v>
      </c>
      <c r="Z15" s="69">
        <v>1</v>
      </c>
      <c r="AA15" s="69">
        <v>89</v>
      </c>
      <c r="AB15" s="160">
        <v>150</v>
      </c>
      <c r="AC15" s="69">
        <v>45</v>
      </c>
    </row>
    <row r="16" spans="1:29" s="96" customFormat="1" x14ac:dyDescent="0.25">
      <c r="A16" s="81">
        <v>13</v>
      </c>
      <c r="B16" s="69" t="s">
        <v>130</v>
      </c>
      <c r="C16" s="14" t="s">
        <v>341</v>
      </c>
      <c r="D16" s="97">
        <v>4</v>
      </c>
      <c r="E16" s="97" t="s">
        <v>18</v>
      </c>
      <c r="F16" s="95">
        <v>6.8</v>
      </c>
      <c r="G16" s="97">
        <v>4</v>
      </c>
      <c r="H16" s="69">
        <v>1</v>
      </c>
      <c r="I16" s="69">
        <v>1</v>
      </c>
      <c r="J16" s="69">
        <v>0</v>
      </c>
      <c r="K16" s="69">
        <v>1</v>
      </c>
      <c r="L16" s="69">
        <v>89</v>
      </c>
      <c r="M16" s="69">
        <v>185</v>
      </c>
      <c r="N16" s="69">
        <v>55</v>
      </c>
      <c r="P16" s="81">
        <v>13</v>
      </c>
      <c r="Q16" s="101" t="s">
        <v>199</v>
      </c>
      <c r="R16" s="14" t="s">
        <v>399</v>
      </c>
      <c r="S16" s="97">
        <v>1</v>
      </c>
      <c r="T16" s="97" t="s">
        <v>18</v>
      </c>
      <c r="U16" s="95">
        <v>4.5</v>
      </c>
      <c r="V16" s="97">
        <v>3</v>
      </c>
      <c r="W16" s="69">
        <v>1</v>
      </c>
      <c r="X16" s="69">
        <v>1</v>
      </c>
      <c r="Y16" s="69">
        <v>0</v>
      </c>
      <c r="Z16" s="69">
        <v>1</v>
      </c>
      <c r="AA16" s="69">
        <v>89</v>
      </c>
      <c r="AB16" s="160">
        <v>179</v>
      </c>
      <c r="AC16" s="69">
        <v>60</v>
      </c>
    </row>
    <row r="17" spans="1:29" s="96" customFormat="1" x14ac:dyDescent="0.25">
      <c r="A17" s="81">
        <v>14</v>
      </c>
      <c r="B17" s="69" t="s">
        <v>132</v>
      </c>
      <c r="C17" s="14" t="s">
        <v>352</v>
      </c>
      <c r="D17" s="97">
        <v>2</v>
      </c>
      <c r="E17" s="97" t="s">
        <v>18</v>
      </c>
      <c r="F17" s="95">
        <v>6.5</v>
      </c>
      <c r="G17" s="97">
        <v>3</v>
      </c>
      <c r="H17" s="69">
        <v>1</v>
      </c>
      <c r="I17" s="69">
        <v>1</v>
      </c>
      <c r="J17" s="69">
        <v>0</v>
      </c>
      <c r="K17" s="69">
        <v>0</v>
      </c>
      <c r="L17" s="69">
        <v>90</v>
      </c>
      <c r="M17" s="69">
        <v>160</v>
      </c>
      <c r="N17" s="69">
        <v>40</v>
      </c>
      <c r="P17" s="81">
        <v>14</v>
      </c>
      <c r="Q17" s="97" t="s">
        <v>200</v>
      </c>
      <c r="R17" s="14" t="s">
        <v>400</v>
      </c>
      <c r="S17" s="97">
        <v>1</v>
      </c>
      <c r="T17" s="97" t="s">
        <v>19</v>
      </c>
      <c r="U17" s="95">
        <v>4.8</v>
      </c>
      <c r="V17" s="104">
        <v>4</v>
      </c>
      <c r="W17" s="69">
        <v>1</v>
      </c>
      <c r="X17" s="69">
        <v>1</v>
      </c>
      <c r="Y17" s="69">
        <v>0</v>
      </c>
      <c r="Z17" s="69">
        <v>1</v>
      </c>
      <c r="AA17" s="69">
        <v>92</v>
      </c>
      <c r="AB17" s="160">
        <v>175</v>
      </c>
      <c r="AC17" s="69">
        <v>45</v>
      </c>
    </row>
    <row r="18" spans="1:29" s="96" customFormat="1" x14ac:dyDescent="0.25">
      <c r="A18" s="81">
        <v>15</v>
      </c>
      <c r="B18" s="69" t="s">
        <v>135</v>
      </c>
      <c r="C18" s="14" t="s">
        <v>353</v>
      </c>
      <c r="D18" s="97">
        <v>2</v>
      </c>
      <c r="E18" s="97" t="s">
        <v>18</v>
      </c>
      <c r="F18" s="95">
        <v>5</v>
      </c>
      <c r="G18" s="97">
        <v>5</v>
      </c>
      <c r="H18" s="69">
        <v>1</v>
      </c>
      <c r="I18" s="69">
        <v>1</v>
      </c>
      <c r="J18" s="69">
        <v>0</v>
      </c>
      <c r="K18" s="69">
        <v>1</v>
      </c>
      <c r="L18" s="69">
        <v>90</v>
      </c>
      <c r="M18" s="69">
        <v>135</v>
      </c>
      <c r="N18" s="69">
        <v>55</v>
      </c>
      <c r="P18" s="81">
        <v>15</v>
      </c>
      <c r="Q18" s="97" t="s">
        <v>201</v>
      </c>
      <c r="R18" s="14" t="s">
        <v>401</v>
      </c>
      <c r="S18" s="97">
        <v>4</v>
      </c>
      <c r="T18" s="97" t="s">
        <v>19</v>
      </c>
      <c r="U18" s="95">
        <v>6</v>
      </c>
      <c r="V18" s="97">
        <v>2</v>
      </c>
      <c r="W18" s="69">
        <v>1</v>
      </c>
      <c r="X18" s="69">
        <v>1</v>
      </c>
      <c r="Y18" s="69">
        <v>0</v>
      </c>
      <c r="Z18" s="69">
        <v>0</v>
      </c>
      <c r="AA18" s="69">
        <v>96</v>
      </c>
      <c r="AB18" s="160">
        <v>200</v>
      </c>
      <c r="AC18" s="69">
        <v>45</v>
      </c>
    </row>
    <row r="19" spans="1:29" s="96" customFormat="1" x14ac:dyDescent="0.25">
      <c r="A19" s="81">
        <v>16</v>
      </c>
      <c r="B19" s="69" t="s">
        <v>138</v>
      </c>
      <c r="C19" s="14" t="s">
        <v>342</v>
      </c>
      <c r="D19" s="97">
        <v>5</v>
      </c>
      <c r="E19" s="97" t="s">
        <v>19</v>
      </c>
      <c r="F19" s="95">
        <v>8</v>
      </c>
      <c r="G19" s="97">
        <v>2</v>
      </c>
      <c r="H19" s="69">
        <v>1</v>
      </c>
      <c r="I19" s="69">
        <v>1</v>
      </c>
      <c r="J19" s="69">
        <v>0</v>
      </c>
      <c r="K19" s="69">
        <v>1</v>
      </c>
      <c r="L19" s="69">
        <v>91</v>
      </c>
      <c r="M19" s="69">
        <v>164</v>
      </c>
      <c r="N19" s="69">
        <v>50</v>
      </c>
      <c r="P19" s="81">
        <v>16</v>
      </c>
      <c r="Q19" s="97" t="s">
        <v>202</v>
      </c>
      <c r="R19" s="14" t="s">
        <v>402</v>
      </c>
      <c r="S19" s="97">
        <v>3</v>
      </c>
      <c r="T19" s="97" t="s">
        <v>18</v>
      </c>
      <c r="U19" s="69">
        <v>6.5</v>
      </c>
      <c r="V19" s="97">
        <v>1</v>
      </c>
      <c r="W19" s="69">
        <v>1</v>
      </c>
      <c r="X19" s="69">
        <v>1</v>
      </c>
      <c r="Y19" s="69">
        <v>0</v>
      </c>
      <c r="Z19" s="69">
        <v>0</v>
      </c>
      <c r="AA19" s="69">
        <v>89</v>
      </c>
      <c r="AB19" s="160">
        <v>178</v>
      </c>
      <c r="AC19" s="69">
        <v>55</v>
      </c>
    </row>
    <row r="20" spans="1:29" s="96" customFormat="1" x14ac:dyDescent="0.25">
      <c r="A20" s="81">
        <v>17</v>
      </c>
      <c r="B20" s="69" t="s">
        <v>141</v>
      </c>
      <c r="C20" s="142" t="s">
        <v>354</v>
      </c>
      <c r="D20" s="97">
        <v>3</v>
      </c>
      <c r="E20" s="97" t="s">
        <v>18</v>
      </c>
      <c r="F20" s="95">
        <v>9.5</v>
      </c>
      <c r="G20" s="97">
        <v>5</v>
      </c>
      <c r="H20" s="69">
        <v>1</v>
      </c>
      <c r="I20" s="69">
        <v>1</v>
      </c>
      <c r="J20" s="69">
        <v>0</v>
      </c>
      <c r="K20" s="69">
        <v>0</v>
      </c>
      <c r="L20" s="69">
        <v>94</v>
      </c>
      <c r="M20" s="69">
        <v>182</v>
      </c>
      <c r="N20" s="69">
        <v>40</v>
      </c>
      <c r="P20" s="81">
        <v>17</v>
      </c>
      <c r="Q20" s="97" t="s">
        <v>203</v>
      </c>
      <c r="R20" s="14" t="s">
        <v>403</v>
      </c>
      <c r="S20" s="97">
        <v>5</v>
      </c>
      <c r="T20" s="97" t="s">
        <v>18</v>
      </c>
      <c r="U20" s="95">
        <v>9</v>
      </c>
      <c r="V20" s="97">
        <v>5</v>
      </c>
      <c r="W20" s="69">
        <v>1</v>
      </c>
      <c r="X20" s="69">
        <v>1</v>
      </c>
      <c r="Y20" s="69">
        <v>0</v>
      </c>
      <c r="Z20" s="69">
        <v>1</v>
      </c>
      <c r="AA20" s="69">
        <v>90</v>
      </c>
      <c r="AB20" s="160">
        <v>186</v>
      </c>
      <c r="AC20" s="69">
        <v>60</v>
      </c>
    </row>
    <row r="21" spans="1:29" s="96" customFormat="1" x14ac:dyDescent="0.25">
      <c r="A21" s="81">
        <v>18</v>
      </c>
      <c r="B21" s="69" t="s">
        <v>144</v>
      </c>
      <c r="C21" s="14" t="s">
        <v>355</v>
      </c>
      <c r="D21" s="100">
        <v>11</v>
      </c>
      <c r="E21" s="99" t="s">
        <v>19</v>
      </c>
      <c r="F21" s="95">
        <v>9</v>
      </c>
      <c r="G21" s="105">
        <v>2</v>
      </c>
      <c r="H21" s="69">
        <v>1</v>
      </c>
      <c r="I21" s="69">
        <v>1</v>
      </c>
      <c r="J21" s="69">
        <v>0</v>
      </c>
      <c r="K21" s="69">
        <v>0</v>
      </c>
      <c r="L21" s="69">
        <v>91</v>
      </c>
      <c r="M21" s="69">
        <v>141</v>
      </c>
      <c r="N21" s="69">
        <v>35</v>
      </c>
      <c r="P21" s="81">
        <v>18</v>
      </c>
      <c r="Q21" s="97" t="s">
        <v>204</v>
      </c>
      <c r="R21" s="145" t="s">
        <v>404</v>
      </c>
      <c r="S21" s="97">
        <v>3</v>
      </c>
      <c r="T21" s="97" t="s">
        <v>18</v>
      </c>
      <c r="U21" s="95">
        <v>6.3</v>
      </c>
      <c r="V21" s="97">
        <v>3</v>
      </c>
      <c r="W21" s="69">
        <v>1</v>
      </c>
      <c r="X21" s="69">
        <v>1</v>
      </c>
      <c r="Y21" s="69">
        <v>0</v>
      </c>
      <c r="Z21" s="69">
        <v>1</v>
      </c>
      <c r="AA21" s="69">
        <v>89</v>
      </c>
      <c r="AB21" s="160">
        <v>186</v>
      </c>
      <c r="AC21" s="69">
        <v>55</v>
      </c>
    </row>
    <row r="22" spans="1:29" s="96" customFormat="1" x14ac:dyDescent="0.25">
      <c r="A22" s="81">
        <v>19</v>
      </c>
      <c r="B22" s="69" t="s">
        <v>145</v>
      </c>
      <c r="C22" s="14" t="s">
        <v>356</v>
      </c>
      <c r="D22" s="102">
        <v>12</v>
      </c>
      <c r="E22" s="101" t="s">
        <v>19</v>
      </c>
      <c r="F22" s="95">
        <v>10</v>
      </c>
      <c r="G22" s="101">
        <v>4</v>
      </c>
      <c r="H22" s="69">
        <v>1</v>
      </c>
      <c r="I22" s="69">
        <v>1</v>
      </c>
      <c r="J22" s="69">
        <v>0</v>
      </c>
      <c r="K22" s="69">
        <v>1</v>
      </c>
      <c r="L22" s="69">
        <v>90</v>
      </c>
      <c r="M22" s="69">
        <v>160</v>
      </c>
      <c r="N22" s="69">
        <v>35</v>
      </c>
      <c r="P22" s="81">
        <v>19</v>
      </c>
      <c r="Q22" s="97" t="s">
        <v>205</v>
      </c>
      <c r="R22" s="145" t="s">
        <v>405</v>
      </c>
      <c r="S22" s="97">
        <v>3</v>
      </c>
      <c r="T22" s="97" t="s">
        <v>19</v>
      </c>
      <c r="U22" s="95">
        <v>6</v>
      </c>
      <c r="V22" s="97">
        <v>2</v>
      </c>
      <c r="W22" s="69">
        <v>1</v>
      </c>
      <c r="X22" s="69">
        <v>1</v>
      </c>
      <c r="Y22" s="69">
        <v>0</v>
      </c>
      <c r="Z22" s="69">
        <v>1</v>
      </c>
      <c r="AA22" s="69">
        <v>91</v>
      </c>
      <c r="AB22" s="160">
        <v>190</v>
      </c>
      <c r="AC22" s="69">
        <v>45</v>
      </c>
    </row>
    <row r="23" spans="1:29" s="96" customFormat="1" x14ac:dyDescent="0.25">
      <c r="A23" s="81">
        <v>20</v>
      </c>
      <c r="B23" s="69" t="s">
        <v>146</v>
      </c>
      <c r="C23" s="14" t="s">
        <v>357</v>
      </c>
      <c r="D23" s="102">
        <v>1</v>
      </c>
      <c r="E23" s="101" t="s">
        <v>18</v>
      </c>
      <c r="F23" s="95">
        <v>5</v>
      </c>
      <c r="G23" s="101">
        <v>7</v>
      </c>
      <c r="H23" s="69">
        <v>1</v>
      </c>
      <c r="I23" s="69">
        <v>1</v>
      </c>
      <c r="J23" s="69">
        <v>0</v>
      </c>
      <c r="K23" s="69">
        <v>1</v>
      </c>
      <c r="L23" s="69">
        <v>89</v>
      </c>
      <c r="M23" s="69">
        <v>162</v>
      </c>
      <c r="N23" s="69">
        <v>65</v>
      </c>
      <c r="P23" s="81">
        <v>20</v>
      </c>
      <c r="Q23" s="97" t="s">
        <v>206</v>
      </c>
      <c r="R23" s="145" t="s">
        <v>406</v>
      </c>
      <c r="S23" s="97">
        <v>3</v>
      </c>
      <c r="T23" s="97" t="s">
        <v>19</v>
      </c>
      <c r="U23" s="95">
        <v>6</v>
      </c>
      <c r="V23" s="97">
        <v>3</v>
      </c>
      <c r="W23" s="69">
        <v>1</v>
      </c>
      <c r="X23" s="69">
        <v>1</v>
      </c>
      <c r="Y23" s="69">
        <v>0</v>
      </c>
      <c r="Z23" s="69">
        <v>1</v>
      </c>
      <c r="AA23" s="69">
        <v>90</v>
      </c>
      <c r="AB23" s="160">
        <v>184</v>
      </c>
      <c r="AC23" s="69">
        <v>50</v>
      </c>
    </row>
    <row r="24" spans="1:29" s="96" customFormat="1" x14ac:dyDescent="0.25">
      <c r="A24" s="81">
        <v>21</v>
      </c>
      <c r="B24" s="69" t="s">
        <v>147</v>
      </c>
      <c r="C24" s="14" t="s">
        <v>358</v>
      </c>
      <c r="D24" s="97">
        <v>2</v>
      </c>
      <c r="E24" s="97" t="s">
        <v>19</v>
      </c>
      <c r="F24" s="95">
        <v>6</v>
      </c>
      <c r="G24" s="97">
        <v>3</v>
      </c>
      <c r="H24" s="69">
        <v>1</v>
      </c>
      <c r="I24" s="69">
        <v>1</v>
      </c>
      <c r="J24" s="69">
        <v>0</v>
      </c>
      <c r="K24" s="69">
        <v>1</v>
      </c>
      <c r="L24" s="69">
        <v>90</v>
      </c>
      <c r="M24" s="69">
        <v>165</v>
      </c>
      <c r="N24" s="69">
        <v>50</v>
      </c>
      <c r="P24" s="81">
        <v>21</v>
      </c>
      <c r="Q24" s="97" t="s">
        <v>207</v>
      </c>
      <c r="R24" s="145" t="s">
        <v>407</v>
      </c>
      <c r="S24" s="97">
        <v>18</v>
      </c>
      <c r="T24" s="97" t="s">
        <v>19</v>
      </c>
      <c r="U24" s="95">
        <v>10</v>
      </c>
      <c r="V24" s="97">
        <v>4</v>
      </c>
      <c r="W24" s="69">
        <v>1</v>
      </c>
      <c r="X24" s="69">
        <v>1</v>
      </c>
      <c r="Y24" s="69">
        <v>0</v>
      </c>
      <c r="Z24" s="69">
        <v>1</v>
      </c>
      <c r="AA24" s="69">
        <v>88</v>
      </c>
      <c r="AB24" s="160">
        <v>152</v>
      </c>
      <c r="AC24" s="69">
        <v>40</v>
      </c>
    </row>
    <row r="25" spans="1:29" s="96" customFormat="1" x14ac:dyDescent="0.25">
      <c r="A25" s="81">
        <v>22</v>
      </c>
      <c r="B25" s="69" t="s">
        <v>148</v>
      </c>
      <c r="C25" s="14" t="s">
        <v>359</v>
      </c>
      <c r="D25" s="97">
        <v>3</v>
      </c>
      <c r="E25" s="97" t="s">
        <v>18</v>
      </c>
      <c r="F25" s="95">
        <v>5</v>
      </c>
      <c r="G25" s="97">
        <v>2</v>
      </c>
      <c r="H25" s="69">
        <v>1</v>
      </c>
      <c r="I25" s="69">
        <v>1</v>
      </c>
      <c r="J25" s="69">
        <v>0</v>
      </c>
      <c r="K25" s="69">
        <v>1</v>
      </c>
      <c r="L25" s="69">
        <v>91</v>
      </c>
      <c r="M25" s="69">
        <v>192</v>
      </c>
      <c r="N25" s="69">
        <v>55</v>
      </c>
      <c r="P25" s="81">
        <v>22</v>
      </c>
      <c r="Q25" s="97" t="s">
        <v>208</v>
      </c>
      <c r="R25" s="145" t="s">
        <v>408</v>
      </c>
      <c r="S25" s="97">
        <v>4</v>
      </c>
      <c r="T25" s="97" t="s">
        <v>18</v>
      </c>
      <c r="U25" s="95">
        <v>6.7</v>
      </c>
      <c r="V25" s="97">
        <v>1</v>
      </c>
      <c r="W25" s="69">
        <v>1</v>
      </c>
      <c r="X25" s="69">
        <v>1</v>
      </c>
      <c r="Y25" s="69">
        <v>0</v>
      </c>
      <c r="Z25" s="69">
        <v>1</v>
      </c>
      <c r="AA25" s="69">
        <v>90</v>
      </c>
      <c r="AB25" s="160">
        <v>180</v>
      </c>
      <c r="AC25" s="69">
        <v>50</v>
      </c>
    </row>
    <row r="26" spans="1:29" s="96" customFormat="1" x14ac:dyDescent="0.25">
      <c r="A26" s="81">
        <v>23</v>
      </c>
      <c r="B26" s="69" t="s">
        <v>149</v>
      </c>
      <c r="C26" s="14" t="s">
        <v>340</v>
      </c>
      <c r="D26" s="97">
        <v>12</v>
      </c>
      <c r="E26" s="97" t="s">
        <v>18</v>
      </c>
      <c r="F26" s="95">
        <v>9.4</v>
      </c>
      <c r="G26" s="97">
        <v>3</v>
      </c>
      <c r="H26" s="69">
        <v>1</v>
      </c>
      <c r="I26" s="69">
        <v>1</v>
      </c>
      <c r="J26" s="69">
        <v>0</v>
      </c>
      <c r="K26" s="69">
        <v>1</v>
      </c>
      <c r="L26" s="69">
        <v>90</v>
      </c>
      <c r="M26" s="69">
        <v>148</v>
      </c>
      <c r="N26" s="69">
        <v>45</v>
      </c>
      <c r="P26" s="81">
        <v>23</v>
      </c>
      <c r="Q26" s="97" t="s">
        <v>209</v>
      </c>
      <c r="R26" s="145" t="s">
        <v>409</v>
      </c>
      <c r="S26" s="97">
        <v>4</v>
      </c>
      <c r="T26" s="97" t="s">
        <v>18</v>
      </c>
      <c r="U26" s="95">
        <v>7</v>
      </c>
      <c r="V26" s="97">
        <v>3</v>
      </c>
      <c r="W26" s="69">
        <v>1</v>
      </c>
      <c r="X26" s="69">
        <v>1</v>
      </c>
      <c r="Y26" s="69">
        <v>0</v>
      </c>
      <c r="Z26" s="69">
        <v>1</v>
      </c>
      <c r="AA26" s="69">
        <v>90</v>
      </c>
      <c r="AB26" s="160">
        <v>160</v>
      </c>
      <c r="AC26" s="69">
        <v>60</v>
      </c>
    </row>
    <row r="27" spans="1:29" s="96" customFormat="1" x14ac:dyDescent="0.25">
      <c r="A27" s="81">
        <v>24</v>
      </c>
      <c r="B27" s="69" t="s">
        <v>150</v>
      </c>
      <c r="C27" s="14" t="s">
        <v>360</v>
      </c>
      <c r="D27" s="97">
        <v>6</v>
      </c>
      <c r="E27" s="97" t="s">
        <v>19</v>
      </c>
      <c r="F27" s="95">
        <v>7</v>
      </c>
      <c r="G27" s="97">
        <v>3</v>
      </c>
      <c r="H27" s="69">
        <v>1</v>
      </c>
      <c r="I27" s="69">
        <v>1</v>
      </c>
      <c r="J27" s="69">
        <v>0</v>
      </c>
      <c r="K27" s="69">
        <v>1</v>
      </c>
      <c r="L27" s="69">
        <v>90</v>
      </c>
      <c r="M27" s="69">
        <v>168</v>
      </c>
      <c r="N27" s="69">
        <v>50</v>
      </c>
      <c r="P27" s="81">
        <v>24</v>
      </c>
      <c r="Q27" s="97" t="s">
        <v>210</v>
      </c>
      <c r="R27" s="145" t="s">
        <v>410</v>
      </c>
      <c r="S27" s="97">
        <v>2</v>
      </c>
      <c r="T27" s="97" t="s">
        <v>18</v>
      </c>
      <c r="U27" s="95">
        <v>6.2</v>
      </c>
      <c r="V27" s="97">
        <v>3</v>
      </c>
      <c r="W27" s="69">
        <v>1</v>
      </c>
      <c r="X27" s="69">
        <v>1</v>
      </c>
      <c r="Y27" s="69">
        <v>0</v>
      </c>
      <c r="Z27" s="69">
        <v>0</v>
      </c>
      <c r="AA27" s="69">
        <v>91</v>
      </c>
      <c r="AB27" s="160">
        <v>145</v>
      </c>
      <c r="AC27" s="69">
        <v>50</v>
      </c>
    </row>
    <row r="28" spans="1:29" s="96" customFormat="1" x14ac:dyDescent="0.25">
      <c r="A28" s="81">
        <v>25</v>
      </c>
      <c r="B28" s="69" t="s">
        <v>168</v>
      </c>
      <c r="C28" s="146" t="s">
        <v>361</v>
      </c>
      <c r="D28" s="35">
        <v>9</v>
      </c>
      <c r="E28" s="97" t="s">
        <v>18</v>
      </c>
      <c r="F28" s="95">
        <v>8.5</v>
      </c>
      <c r="G28" s="97">
        <v>3</v>
      </c>
      <c r="H28" s="69">
        <v>1</v>
      </c>
      <c r="I28" s="69">
        <v>1</v>
      </c>
      <c r="J28" s="69">
        <v>0</v>
      </c>
      <c r="K28" s="69">
        <v>1</v>
      </c>
      <c r="L28" s="69">
        <v>88</v>
      </c>
      <c r="M28" s="69">
        <v>180</v>
      </c>
      <c r="N28" s="69">
        <v>48</v>
      </c>
      <c r="P28" s="81">
        <v>25</v>
      </c>
      <c r="Q28" s="97" t="s">
        <v>211</v>
      </c>
      <c r="R28" s="145" t="s">
        <v>411</v>
      </c>
      <c r="S28" s="97">
        <v>1</v>
      </c>
      <c r="T28" s="97" t="s">
        <v>18</v>
      </c>
      <c r="U28" s="95">
        <v>4</v>
      </c>
      <c r="V28" s="97">
        <v>4</v>
      </c>
      <c r="W28" s="69">
        <v>1</v>
      </c>
      <c r="X28" s="69">
        <v>1</v>
      </c>
      <c r="Y28" s="69">
        <v>0</v>
      </c>
      <c r="Z28" s="69">
        <v>1</v>
      </c>
      <c r="AA28" s="69">
        <v>85</v>
      </c>
      <c r="AB28" s="160">
        <v>180</v>
      </c>
      <c r="AC28" s="69">
        <v>65</v>
      </c>
    </row>
    <row r="29" spans="1:29" s="96" customFormat="1" x14ac:dyDescent="0.25">
      <c r="A29" s="81">
        <v>26</v>
      </c>
      <c r="B29" s="69" t="s">
        <v>151</v>
      </c>
      <c r="C29" s="14" t="s">
        <v>362</v>
      </c>
      <c r="D29" s="97">
        <v>17</v>
      </c>
      <c r="E29" s="97" t="s">
        <v>18</v>
      </c>
      <c r="F29" s="95">
        <v>9</v>
      </c>
      <c r="G29" s="97">
        <v>2</v>
      </c>
      <c r="H29" s="69">
        <v>1</v>
      </c>
      <c r="I29" s="69">
        <v>1</v>
      </c>
      <c r="J29" s="69">
        <v>1</v>
      </c>
      <c r="K29" s="69">
        <v>1</v>
      </c>
      <c r="L29" s="69">
        <v>90</v>
      </c>
      <c r="M29" s="69">
        <v>140</v>
      </c>
      <c r="N29" s="69">
        <v>45</v>
      </c>
      <c r="P29" s="81">
        <v>26</v>
      </c>
      <c r="Q29" s="97" t="s">
        <v>212</v>
      </c>
      <c r="R29" s="145" t="s">
        <v>412</v>
      </c>
      <c r="S29" s="97">
        <v>9</v>
      </c>
      <c r="T29" s="97" t="s">
        <v>19</v>
      </c>
      <c r="U29" s="95">
        <v>8</v>
      </c>
      <c r="V29" s="97">
        <v>3</v>
      </c>
      <c r="W29" s="69">
        <v>1</v>
      </c>
      <c r="X29" s="69">
        <v>1</v>
      </c>
      <c r="Y29" s="69">
        <v>0</v>
      </c>
      <c r="Z29" s="69">
        <v>0</v>
      </c>
      <c r="AA29" s="69">
        <v>91</v>
      </c>
      <c r="AB29" s="160">
        <v>120</v>
      </c>
      <c r="AC29" s="69">
        <v>38</v>
      </c>
    </row>
    <row r="30" spans="1:29" s="96" customFormat="1" x14ac:dyDescent="0.25">
      <c r="A30" s="81">
        <v>27</v>
      </c>
      <c r="B30" s="69" t="s">
        <v>152</v>
      </c>
      <c r="C30" s="147" t="s">
        <v>363</v>
      </c>
      <c r="D30" s="97">
        <v>5</v>
      </c>
      <c r="E30" s="97" t="s">
        <v>19</v>
      </c>
      <c r="F30" s="95">
        <v>7.5</v>
      </c>
      <c r="G30" s="97">
        <v>3</v>
      </c>
      <c r="H30" s="69">
        <v>1</v>
      </c>
      <c r="I30" s="69">
        <v>1</v>
      </c>
      <c r="J30" s="69">
        <v>0</v>
      </c>
      <c r="K30" s="69">
        <v>1</v>
      </c>
      <c r="L30" s="69">
        <v>90</v>
      </c>
      <c r="M30" s="69">
        <v>185</v>
      </c>
      <c r="N30" s="69">
        <v>45</v>
      </c>
      <c r="P30" s="81">
        <v>27</v>
      </c>
      <c r="Q30" s="97" t="s">
        <v>213</v>
      </c>
      <c r="R30" s="145" t="s">
        <v>413</v>
      </c>
      <c r="S30" s="97">
        <v>1</v>
      </c>
      <c r="T30" s="97" t="s">
        <v>19</v>
      </c>
      <c r="U30" s="95">
        <v>4.5999999999999996</v>
      </c>
      <c r="V30" s="97">
        <v>3</v>
      </c>
      <c r="W30" s="69">
        <v>1</v>
      </c>
      <c r="X30" s="69">
        <v>1</v>
      </c>
      <c r="Y30" s="69">
        <v>0</v>
      </c>
      <c r="Z30" s="69">
        <v>0</v>
      </c>
      <c r="AA30" s="69">
        <v>89</v>
      </c>
      <c r="AB30" s="160">
        <v>156</v>
      </c>
      <c r="AC30" s="69">
        <v>45</v>
      </c>
    </row>
    <row r="31" spans="1:29" s="96" customFormat="1" x14ac:dyDescent="0.25">
      <c r="A31" s="81">
        <v>28</v>
      </c>
      <c r="B31" s="69" t="s">
        <v>153</v>
      </c>
      <c r="C31" s="14" t="s">
        <v>364</v>
      </c>
      <c r="D31" s="97">
        <v>4</v>
      </c>
      <c r="E31" s="97" t="s">
        <v>19</v>
      </c>
      <c r="F31" s="95">
        <v>6</v>
      </c>
      <c r="G31" s="97">
        <v>3</v>
      </c>
      <c r="H31" s="69">
        <v>1</v>
      </c>
      <c r="I31" s="69">
        <v>1</v>
      </c>
      <c r="J31" s="69">
        <v>0</v>
      </c>
      <c r="K31" s="69">
        <v>1</v>
      </c>
      <c r="L31" s="69">
        <v>91</v>
      </c>
      <c r="M31" s="69">
        <v>174</v>
      </c>
      <c r="N31" s="69">
        <v>55</v>
      </c>
      <c r="P31" s="81">
        <v>28</v>
      </c>
      <c r="Q31" s="97" t="s">
        <v>214</v>
      </c>
      <c r="R31" s="145" t="s">
        <v>414</v>
      </c>
      <c r="S31" s="97">
        <v>3</v>
      </c>
      <c r="T31" s="97" t="s">
        <v>18</v>
      </c>
      <c r="U31" s="95">
        <v>6.5</v>
      </c>
      <c r="V31" s="97">
        <v>3</v>
      </c>
      <c r="W31" s="69">
        <v>1</v>
      </c>
      <c r="X31" s="69">
        <v>1</v>
      </c>
      <c r="Y31" s="69">
        <v>0</v>
      </c>
      <c r="Z31" s="69">
        <v>0</v>
      </c>
      <c r="AA31" s="69">
        <v>90</v>
      </c>
      <c r="AB31" s="160">
        <v>150</v>
      </c>
      <c r="AC31" s="69">
        <v>55</v>
      </c>
    </row>
    <row r="32" spans="1:29" s="96" customFormat="1" x14ac:dyDescent="0.25">
      <c r="A32" s="81">
        <v>29</v>
      </c>
      <c r="B32" s="69" t="s">
        <v>154</v>
      </c>
      <c r="C32" s="14" t="s">
        <v>365</v>
      </c>
      <c r="D32" s="97">
        <v>2</v>
      </c>
      <c r="E32" s="97" t="s">
        <v>19</v>
      </c>
      <c r="F32" s="95">
        <v>5.3</v>
      </c>
      <c r="G32" s="97">
        <v>2</v>
      </c>
      <c r="H32" s="69">
        <v>1</v>
      </c>
      <c r="I32" s="69">
        <v>1</v>
      </c>
      <c r="J32" s="69">
        <v>0</v>
      </c>
      <c r="K32" s="69">
        <v>1</v>
      </c>
      <c r="L32" s="69">
        <v>86</v>
      </c>
      <c r="M32" s="69">
        <v>175</v>
      </c>
      <c r="N32" s="69">
        <v>60</v>
      </c>
      <c r="P32" s="81">
        <v>29</v>
      </c>
      <c r="Q32" s="97" t="s">
        <v>215</v>
      </c>
      <c r="R32" s="145" t="s">
        <v>415</v>
      </c>
      <c r="S32" s="97">
        <f>8+12</f>
        <v>20</v>
      </c>
      <c r="T32" s="97" t="s">
        <v>19</v>
      </c>
      <c r="U32" s="95">
        <v>12</v>
      </c>
      <c r="V32" s="97">
        <v>2</v>
      </c>
      <c r="W32" s="69">
        <v>1</v>
      </c>
      <c r="X32" s="69">
        <v>1</v>
      </c>
      <c r="Y32" s="69">
        <v>0</v>
      </c>
      <c r="Z32" s="69">
        <v>0</v>
      </c>
      <c r="AA32" s="69">
        <v>95</v>
      </c>
      <c r="AB32" s="160">
        <v>150</v>
      </c>
      <c r="AC32" s="69">
        <v>45</v>
      </c>
    </row>
    <row r="33" spans="1:29" s="96" customFormat="1" x14ac:dyDescent="0.25">
      <c r="A33" s="81">
        <v>30</v>
      </c>
      <c r="B33" s="69" t="s">
        <v>155</v>
      </c>
      <c r="C33" s="14" t="s">
        <v>366</v>
      </c>
      <c r="D33" s="97">
        <v>4</v>
      </c>
      <c r="E33" s="97" t="s">
        <v>19</v>
      </c>
      <c r="F33" s="95">
        <v>6</v>
      </c>
      <c r="G33" s="97">
        <v>3</v>
      </c>
      <c r="H33" s="69">
        <v>1</v>
      </c>
      <c r="I33" s="69">
        <v>1</v>
      </c>
      <c r="J33" s="69">
        <v>0</v>
      </c>
      <c r="K33" s="69">
        <v>1</v>
      </c>
      <c r="L33" s="69">
        <v>90</v>
      </c>
      <c r="M33" s="69">
        <v>157</v>
      </c>
      <c r="N33" s="69">
        <v>55</v>
      </c>
      <c r="P33" s="81">
        <v>30</v>
      </c>
      <c r="Q33" s="97" t="s">
        <v>216</v>
      </c>
      <c r="R33" s="145" t="s">
        <v>416</v>
      </c>
      <c r="S33" s="98">
        <v>3</v>
      </c>
      <c r="T33" s="97" t="s">
        <v>19</v>
      </c>
      <c r="U33" s="95">
        <v>5.8</v>
      </c>
      <c r="V33" s="97">
        <v>4</v>
      </c>
      <c r="W33" s="69">
        <v>1</v>
      </c>
      <c r="X33" s="69">
        <v>1</v>
      </c>
      <c r="Y33" s="69">
        <v>0</v>
      </c>
      <c r="Z33" s="69">
        <v>0</v>
      </c>
      <c r="AA33" s="69">
        <v>96</v>
      </c>
      <c r="AB33" s="160">
        <v>151</v>
      </c>
      <c r="AC33" s="69">
        <v>38</v>
      </c>
    </row>
    <row r="34" spans="1:29" s="96" customFormat="1" x14ac:dyDescent="0.25">
      <c r="A34" s="81">
        <v>31</v>
      </c>
      <c r="B34" s="69" t="s">
        <v>156</v>
      </c>
      <c r="C34" s="14" t="s">
        <v>367</v>
      </c>
      <c r="D34" s="97">
        <v>6</v>
      </c>
      <c r="E34" s="97" t="s">
        <v>19</v>
      </c>
      <c r="F34" s="95">
        <v>11</v>
      </c>
      <c r="G34" s="97">
        <v>3</v>
      </c>
      <c r="H34" s="69">
        <v>1</v>
      </c>
      <c r="I34" s="69">
        <v>1</v>
      </c>
      <c r="J34" s="69">
        <v>0</v>
      </c>
      <c r="K34" s="69">
        <v>1</v>
      </c>
      <c r="L34" s="69">
        <v>90</v>
      </c>
      <c r="M34" s="69">
        <v>150</v>
      </c>
      <c r="N34" s="69">
        <v>50</v>
      </c>
      <c r="P34" s="81">
        <v>31</v>
      </c>
      <c r="Q34" s="97" t="s">
        <v>217</v>
      </c>
      <c r="R34" s="145" t="s">
        <v>417</v>
      </c>
      <c r="S34" s="98">
        <v>12</v>
      </c>
      <c r="T34" s="97" t="s">
        <v>18</v>
      </c>
      <c r="U34" s="95">
        <v>9</v>
      </c>
      <c r="V34" s="97">
        <v>5</v>
      </c>
      <c r="W34" s="69">
        <v>1</v>
      </c>
      <c r="X34" s="69">
        <v>1</v>
      </c>
      <c r="Y34" s="69">
        <v>0</v>
      </c>
      <c r="Z34" s="69">
        <v>0</v>
      </c>
      <c r="AA34" s="69">
        <v>96</v>
      </c>
      <c r="AB34" s="160">
        <v>191</v>
      </c>
      <c r="AC34" s="69">
        <v>50</v>
      </c>
    </row>
    <row r="35" spans="1:29" s="96" customFormat="1" x14ac:dyDescent="0.25">
      <c r="A35" s="81">
        <v>32</v>
      </c>
      <c r="B35" s="69" t="s">
        <v>157</v>
      </c>
      <c r="C35" s="14" t="s">
        <v>368</v>
      </c>
      <c r="D35" s="97">
        <v>5</v>
      </c>
      <c r="E35" s="97" t="s">
        <v>18</v>
      </c>
      <c r="F35" s="95">
        <v>7</v>
      </c>
      <c r="G35" s="97">
        <v>3</v>
      </c>
      <c r="H35" s="69">
        <v>1</v>
      </c>
      <c r="I35" s="69">
        <v>1</v>
      </c>
      <c r="J35" s="69">
        <v>0</v>
      </c>
      <c r="K35" s="69">
        <v>1</v>
      </c>
      <c r="L35" s="69">
        <v>90</v>
      </c>
      <c r="M35" s="69">
        <v>140</v>
      </c>
      <c r="N35" s="69">
        <v>45</v>
      </c>
      <c r="P35" s="81">
        <v>32</v>
      </c>
      <c r="Q35" s="97" t="s">
        <v>218</v>
      </c>
      <c r="R35" s="145" t="s">
        <v>418</v>
      </c>
      <c r="S35" s="98">
        <v>9</v>
      </c>
      <c r="T35" s="97" t="s">
        <v>19</v>
      </c>
      <c r="U35" s="95">
        <v>11.5</v>
      </c>
      <c r="V35" s="97">
        <v>2</v>
      </c>
      <c r="W35" s="69">
        <v>1</v>
      </c>
      <c r="X35" s="69">
        <v>1</v>
      </c>
      <c r="Y35" s="69">
        <v>0</v>
      </c>
      <c r="Z35" s="69">
        <v>1</v>
      </c>
      <c r="AA35" s="69">
        <v>91</v>
      </c>
      <c r="AB35" s="160">
        <v>160</v>
      </c>
      <c r="AC35" s="69">
        <v>45</v>
      </c>
    </row>
    <row r="36" spans="1:29" s="96" customFormat="1" x14ac:dyDescent="0.25">
      <c r="A36" s="81">
        <v>33</v>
      </c>
      <c r="B36" s="69" t="s">
        <v>158</v>
      </c>
      <c r="C36" s="14" t="s">
        <v>369</v>
      </c>
      <c r="D36" s="98">
        <v>1</v>
      </c>
      <c r="E36" s="97" t="s">
        <v>18</v>
      </c>
      <c r="F36" s="95">
        <v>6</v>
      </c>
      <c r="G36" s="97">
        <v>2</v>
      </c>
      <c r="H36" s="69">
        <v>1</v>
      </c>
      <c r="I36" s="69">
        <v>0</v>
      </c>
      <c r="J36" s="69">
        <v>0</v>
      </c>
      <c r="K36" s="69">
        <v>1</v>
      </c>
      <c r="L36" s="69">
        <v>89</v>
      </c>
      <c r="M36" s="69">
        <v>150</v>
      </c>
      <c r="N36" s="69">
        <v>65</v>
      </c>
      <c r="P36" s="81">
        <v>33</v>
      </c>
      <c r="Q36" s="97" t="s">
        <v>219</v>
      </c>
      <c r="R36" s="145" t="s">
        <v>419</v>
      </c>
      <c r="S36" s="98">
        <v>2</v>
      </c>
      <c r="T36" s="97" t="s">
        <v>19</v>
      </c>
      <c r="U36" s="95">
        <v>4.9000000000000004</v>
      </c>
      <c r="V36" s="97">
        <v>3</v>
      </c>
      <c r="W36" s="69">
        <v>1</v>
      </c>
      <c r="X36" s="69">
        <v>1</v>
      </c>
      <c r="Y36" s="69">
        <v>0</v>
      </c>
      <c r="Z36" s="69">
        <v>1</v>
      </c>
      <c r="AA36" s="69">
        <v>89</v>
      </c>
      <c r="AB36" s="160">
        <v>143</v>
      </c>
      <c r="AC36" s="69">
        <v>53</v>
      </c>
    </row>
    <row r="37" spans="1:29" s="96" customFormat="1" x14ac:dyDescent="0.25">
      <c r="A37" s="81">
        <v>34</v>
      </c>
      <c r="B37" s="69" t="s">
        <v>175</v>
      </c>
      <c r="C37" s="145" t="s">
        <v>370</v>
      </c>
      <c r="D37" s="98">
        <v>7</v>
      </c>
      <c r="E37" s="97" t="s">
        <v>19</v>
      </c>
      <c r="F37" s="95">
        <v>8</v>
      </c>
      <c r="G37" s="97">
        <v>2</v>
      </c>
      <c r="H37" s="69">
        <v>1</v>
      </c>
      <c r="I37" s="69">
        <v>1</v>
      </c>
      <c r="J37" s="69">
        <v>0</v>
      </c>
      <c r="K37" s="69">
        <v>0</v>
      </c>
      <c r="L37" s="69">
        <v>90</v>
      </c>
      <c r="M37" s="69">
        <v>173</v>
      </c>
      <c r="N37" s="69">
        <v>45</v>
      </c>
      <c r="P37" s="81">
        <v>34</v>
      </c>
      <c r="Q37" s="97" t="s">
        <v>220</v>
      </c>
      <c r="R37" s="145" t="s">
        <v>420</v>
      </c>
      <c r="S37" s="98">
        <v>17</v>
      </c>
      <c r="T37" s="97" t="s">
        <v>19</v>
      </c>
      <c r="U37" s="95">
        <v>10</v>
      </c>
      <c r="V37" s="97">
        <v>5</v>
      </c>
      <c r="W37" s="69">
        <v>1</v>
      </c>
      <c r="X37" s="69">
        <v>1</v>
      </c>
      <c r="Y37" s="69">
        <v>0</v>
      </c>
      <c r="Z37" s="69">
        <v>0</v>
      </c>
      <c r="AA37" s="69">
        <v>91</v>
      </c>
      <c r="AB37" s="160">
        <v>163</v>
      </c>
      <c r="AC37" s="69">
        <v>40</v>
      </c>
    </row>
    <row r="38" spans="1:29" s="96" customFormat="1" x14ac:dyDescent="0.25">
      <c r="A38" s="81">
        <v>35</v>
      </c>
      <c r="B38" s="69" t="s">
        <v>160</v>
      </c>
      <c r="C38" s="14" t="s">
        <v>371</v>
      </c>
      <c r="D38" s="98">
        <v>7</v>
      </c>
      <c r="E38" s="97" t="s">
        <v>18</v>
      </c>
      <c r="F38" s="95">
        <v>8</v>
      </c>
      <c r="G38" s="97">
        <v>3</v>
      </c>
      <c r="H38" s="69">
        <v>1</v>
      </c>
      <c r="I38" s="69">
        <v>1</v>
      </c>
      <c r="J38" s="69">
        <v>0</v>
      </c>
      <c r="K38" s="69">
        <v>1</v>
      </c>
      <c r="L38" s="69">
        <v>91</v>
      </c>
      <c r="M38" s="69">
        <v>150</v>
      </c>
      <c r="N38" s="69">
        <v>55</v>
      </c>
      <c r="P38" s="81">
        <v>35</v>
      </c>
      <c r="Q38" s="97" t="s">
        <v>221</v>
      </c>
      <c r="R38" s="145" t="s">
        <v>421</v>
      </c>
      <c r="S38" s="98">
        <v>7</v>
      </c>
      <c r="T38" s="97" t="s">
        <v>18</v>
      </c>
      <c r="U38" s="95">
        <v>6.9</v>
      </c>
      <c r="V38" s="97">
        <v>5</v>
      </c>
      <c r="W38" s="69">
        <v>1</v>
      </c>
      <c r="X38" s="69">
        <v>1</v>
      </c>
      <c r="Y38" s="69">
        <v>0</v>
      </c>
      <c r="Z38" s="69">
        <v>0</v>
      </c>
      <c r="AA38" s="69">
        <v>90</v>
      </c>
      <c r="AB38" s="160">
        <v>175</v>
      </c>
      <c r="AC38" s="69">
        <v>54</v>
      </c>
    </row>
    <row r="39" spans="1:29" s="96" customFormat="1" x14ac:dyDescent="0.25">
      <c r="A39" s="81">
        <v>36</v>
      </c>
      <c r="B39" s="69" t="s">
        <v>161</v>
      </c>
      <c r="C39" s="14" t="s">
        <v>372</v>
      </c>
      <c r="D39" s="98">
        <v>5</v>
      </c>
      <c r="E39" s="97" t="s">
        <v>19</v>
      </c>
      <c r="F39" s="69">
        <v>6.2</v>
      </c>
      <c r="G39" s="97">
        <v>4</v>
      </c>
      <c r="H39" s="69">
        <v>1</v>
      </c>
      <c r="I39" s="69">
        <v>1</v>
      </c>
      <c r="J39" s="69">
        <v>0</v>
      </c>
      <c r="K39" s="69">
        <v>1</v>
      </c>
      <c r="L39" s="69">
        <v>89</v>
      </c>
      <c r="M39" s="69">
        <v>152</v>
      </c>
      <c r="N39" s="69">
        <v>35</v>
      </c>
      <c r="P39" s="81">
        <v>36</v>
      </c>
      <c r="Q39" s="99" t="s">
        <v>222</v>
      </c>
      <c r="R39" s="14" t="s">
        <v>422</v>
      </c>
      <c r="S39" s="100">
        <v>2</v>
      </c>
      <c r="T39" s="99" t="s">
        <v>18</v>
      </c>
      <c r="U39" s="95">
        <v>5.2</v>
      </c>
      <c r="V39" s="99">
        <v>3</v>
      </c>
      <c r="W39" s="69">
        <v>1</v>
      </c>
      <c r="X39" s="69">
        <v>1</v>
      </c>
      <c r="Y39" s="69">
        <v>1</v>
      </c>
      <c r="Z39" s="69">
        <v>1</v>
      </c>
      <c r="AA39" s="69">
        <v>77</v>
      </c>
      <c r="AB39" s="160">
        <v>123</v>
      </c>
      <c r="AC39" s="69">
        <v>30</v>
      </c>
    </row>
    <row r="40" spans="1:29" s="96" customFormat="1" x14ac:dyDescent="0.25">
      <c r="A40" s="81">
        <v>37</v>
      </c>
      <c r="B40" s="69" t="s">
        <v>162</v>
      </c>
      <c r="C40" s="14" t="s">
        <v>373</v>
      </c>
      <c r="D40" s="98">
        <v>13</v>
      </c>
      <c r="E40" s="97" t="s">
        <v>18</v>
      </c>
      <c r="F40" s="95">
        <v>10</v>
      </c>
      <c r="G40" s="97">
        <v>4</v>
      </c>
      <c r="H40" s="69">
        <v>1</v>
      </c>
      <c r="I40" s="69">
        <v>1</v>
      </c>
      <c r="J40" s="69">
        <v>0</v>
      </c>
      <c r="K40" s="69">
        <v>0</v>
      </c>
      <c r="L40" s="69">
        <v>99</v>
      </c>
      <c r="M40" s="69">
        <v>138</v>
      </c>
      <c r="N40" s="69">
        <v>40</v>
      </c>
      <c r="P40" s="81">
        <v>37</v>
      </c>
      <c r="Q40" s="101" t="s">
        <v>223</v>
      </c>
      <c r="R40" s="14" t="s">
        <v>423</v>
      </c>
      <c r="S40" s="102">
        <v>5</v>
      </c>
      <c r="T40" s="101" t="s">
        <v>18</v>
      </c>
      <c r="U40" s="95">
        <v>6.5</v>
      </c>
      <c r="V40" s="101">
        <v>5</v>
      </c>
      <c r="W40" s="69">
        <v>1</v>
      </c>
      <c r="X40" s="69">
        <v>0</v>
      </c>
      <c r="Y40" s="69">
        <v>0</v>
      </c>
      <c r="Z40" s="69">
        <v>0</v>
      </c>
      <c r="AA40" s="69">
        <v>91</v>
      </c>
      <c r="AB40" s="160">
        <v>145</v>
      </c>
      <c r="AC40" s="69">
        <v>50</v>
      </c>
    </row>
    <row r="41" spans="1:29" s="96" customFormat="1" x14ac:dyDescent="0.25">
      <c r="A41" s="81">
        <v>38</v>
      </c>
      <c r="B41" s="69" t="s">
        <v>163</v>
      </c>
      <c r="C41" s="14" t="s">
        <v>374</v>
      </c>
      <c r="D41" s="98">
        <v>5</v>
      </c>
      <c r="E41" s="97" t="s">
        <v>18</v>
      </c>
      <c r="F41" s="95">
        <v>7.5</v>
      </c>
      <c r="G41" s="97">
        <v>6</v>
      </c>
      <c r="H41" s="69">
        <v>1</v>
      </c>
      <c r="I41" s="69">
        <v>1</v>
      </c>
      <c r="J41" s="69">
        <v>0</v>
      </c>
      <c r="K41" s="69">
        <v>0</v>
      </c>
      <c r="L41" s="69">
        <v>97</v>
      </c>
      <c r="M41" s="69">
        <v>180</v>
      </c>
      <c r="N41" s="69">
        <v>45</v>
      </c>
      <c r="P41" s="81">
        <v>38</v>
      </c>
      <c r="Q41" s="97" t="s">
        <v>224</v>
      </c>
      <c r="R41" s="148" t="s">
        <v>424</v>
      </c>
      <c r="S41" s="98">
        <v>3</v>
      </c>
      <c r="T41" s="97" t="s">
        <v>18</v>
      </c>
      <c r="U41" s="95">
        <v>6</v>
      </c>
      <c r="V41" s="97">
        <v>2</v>
      </c>
      <c r="W41" s="69">
        <v>1</v>
      </c>
      <c r="X41" s="69">
        <v>1</v>
      </c>
      <c r="Y41" s="69">
        <v>0</v>
      </c>
      <c r="Z41" s="69">
        <v>1</v>
      </c>
      <c r="AA41" s="69">
        <v>90</v>
      </c>
      <c r="AB41" s="160">
        <v>170</v>
      </c>
      <c r="AC41" s="69">
        <v>55</v>
      </c>
    </row>
    <row r="42" spans="1:29" s="96" customFormat="1" x14ac:dyDescent="0.25">
      <c r="A42" s="81">
        <v>39</v>
      </c>
      <c r="B42" s="69" t="s">
        <v>164</v>
      </c>
      <c r="C42" s="14" t="s">
        <v>375</v>
      </c>
      <c r="D42" s="97">
        <v>17</v>
      </c>
      <c r="E42" s="97" t="s">
        <v>19</v>
      </c>
      <c r="F42" s="95">
        <v>8.5</v>
      </c>
      <c r="G42" s="97">
        <v>4</v>
      </c>
      <c r="H42" s="69">
        <v>1</v>
      </c>
      <c r="I42" s="69">
        <v>1</v>
      </c>
      <c r="J42" s="69">
        <v>0</v>
      </c>
      <c r="K42" s="69">
        <v>1</v>
      </c>
      <c r="L42" s="69">
        <v>91</v>
      </c>
      <c r="M42" s="69">
        <v>155</v>
      </c>
      <c r="N42" s="69">
        <v>45</v>
      </c>
      <c r="P42" s="81">
        <v>39</v>
      </c>
      <c r="Q42" s="97" t="s">
        <v>225</v>
      </c>
      <c r="R42" s="149" t="s">
        <v>425</v>
      </c>
      <c r="S42" s="97">
        <v>20</v>
      </c>
      <c r="T42" s="97" t="s">
        <v>18</v>
      </c>
      <c r="U42" s="95">
        <v>13</v>
      </c>
      <c r="V42" s="97">
        <v>4</v>
      </c>
      <c r="W42" s="69">
        <v>1</v>
      </c>
      <c r="X42" s="69">
        <v>1</v>
      </c>
      <c r="Y42" s="69">
        <v>1</v>
      </c>
      <c r="Z42" s="69">
        <v>1</v>
      </c>
      <c r="AA42" s="69">
        <v>95</v>
      </c>
      <c r="AB42" s="160">
        <v>125</v>
      </c>
      <c r="AC42" s="69">
        <v>35</v>
      </c>
    </row>
    <row r="43" spans="1:29" s="96" customFormat="1" x14ac:dyDescent="0.25">
      <c r="A43" s="81">
        <v>40</v>
      </c>
      <c r="B43" s="69" t="s">
        <v>165</v>
      </c>
      <c r="C43" s="14" t="s">
        <v>376</v>
      </c>
      <c r="D43" s="98">
        <v>2</v>
      </c>
      <c r="E43" s="97" t="s">
        <v>18</v>
      </c>
      <c r="F43" s="95">
        <v>3.8</v>
      </c>
      <c r="G43" s="97">
        <v>4</v>
      </c>
      <c r="H43" s="69">
        <v>1</v>
      </c>
      <c r="I43" s="69">
        <v>0</v>
      </c>
      <c r="J43" s="69">
        <v>0</v>
      </c>
      <c r="K43" s="69">
        <v>1</v>
      </c>
      <c r="L43" s="69">
        <v>88</v>
      </c>
      <c r="M43" s="69">
        <v>164</v>
      </c>
      <c r="N43" s="69">
        <v>50</v>
      </c>
      <c r="P43" s="81">
        <v>40</v>
      </c>
      <c r="Q43" s="97" t="s">
        <v>226</v>
      </c>
      <c r="R43" s="148" t="s">
        <v>426</v>
      </c>
      <c r="S43" s="98">
        <v>2</v>
      </c>
      <c r="T43" s="97" t="s">
        <v>19</v>
      </c>
      <c r="U43" s="95">
        <v>10</v>
      </c>
      <c r="V43" s="97">
        <v>3</v>
      </c>
      <c r="W43" s="69">
        <v>1</v>
      </c>
      <c r="X43" s="69">
        <v>1</v>
      </c>
      <c r="Y43" s="69">
        <v>0</v>
      </c>
      <c r="Z43" s="69">
        <v>1</v>
      </c>
      <c r="AA43" s="69">
        <v>91</v>
      </c>
      <c r="AB43" s="160">
        <v>123</v>
      </c>
      <c r="AC43" s="69">
        <v>45</v>
      </c>
    </row>
    <row r="44" spans="1:29" s="96" customFormat="1" x14ac:dyDescent="0.25">
      <c r="A44" s="81">
        <v>41</v>
      </c>
      <c r="B44" s="69" t="s">
        <v>166</v>
      </c>
      <c r="C44" s="14" t="s">
        <v>377</v>
      </c>
      <c r="D44" s="97">
        <v>7</v>
      </c>
      <c r="E44" s="97" t="s">
        <v>18</v>
      </c>
      <c r="F44" s="95">
        <v>9</v>
      </c>
      <c r="G44" s="97">
        <v>7</v>
      </c>
      <c r="H44" s="69">
        <v>1</v>
      </c>
      <c r="I44" s="69">
        <v>1</v>
      </c>
      <c r="J44" s="69">
        <v>0</v>
      </c>
      <c r="K44" s="69">
        <v>1</v>
      </c>
      <c r="L44" s="69">
        <v>91</v>
      </c>
      <c r="M44" s="69">
        <v>120</v>
      </c>
      <c r="N44" s="69">
        <v>40</v>
      </c>
      <c r="P44" s="81">
        <v>41</v>
      </c>
      <c r="Q44" s="97" t="s">
        <v>227</v>
      </c>
      <c r="R44" s="149" t="s">
        <v>427</v>
      </c>
      <c r="S44" s="97">
        <v>17</v>
      </c>
      <c r="T44" s="97" t="s">
        <v>19</v>
      </c>
      <c r="U44" s="95">
        <v>8</v>
      </c>
      <c r="V44" s="97">
        <v>5</v>
      </c>
      <c r="W44" s="69">
        <v>1</v>
      </c>
      <c r="X44" s="69">
        <v>1</v>
      </c>
      <c r="Y44" s="69">
        <v>0</v>
      </c>
      <c r="Z44" s="69">
        <v>0</v>
      </c>
      <c r="AA44" s="69">
        <v>94</v>
      </c>
      <c r="AB44" s="160">
        <v>180</v>
      </c>
      <c r="AC44" s="69">
        <v>35</v>
      </c>
    </row>
    <row r="45" spans="1:29" s="96" customFormat="1" x14ac:dyDescent="0.25">
      <c r="A45" s="81">
        <v>42</v>
      </c>
      <c r="B45" s="69" t="s">
        <v>167</v>
      </c>
      <c r="C45" s="14" t="s">
        <v>378</v>
      </c>
      <c r="D45" s="97">
        <v>3</v>
      </c>
      <c r="E45" s="97" t="s">
        <v>18</v>
      </c>
      <c r="F45" s="95">
        <v>8</v>
      </c>
      <c r="G45" s="97">
        <v>3</v>
      </c>
      <c r="H45" s="69">
        <v>1</v>
      </c>
      <c r="I45" s="69">
        <v>1</v>
      </c>
      <c r="J45" s="69">
        <v>0</v>
      </c>
      <c r="K45" s="69">
        <v>1</v>
      </c>
      <c r="L45" s="69">
        <v>91</v>
      </c>
      <c r="M45" s="69">
        <v>120</v>
      </c>
      <c r="N45" s="69">
        <v>40</v>
      </c>
      <c r="P45" s="81">
        <v>42</v>
      </c>
      <c r="Q45" s="97" t="s">
        <v>228</v>
      </c>
      <c r="R45" s="149" t="s">
        <v>428</v>
      </c>
      <c r="S45" s="97">
        <v>17</v>
      </c>
      <c r="T45" s="97" t="s">
        <v>18</v>
      </c>
      <c r="U45" s="95">
        <v>7.5</v>
      </c>
      <c r="V45" s="97">
        <v>4</v>
      </c>
      <c r="W45" s="69">
        <v>1</v>
      </c>
      <c r="X45" s="69">
        <v>1</v>
      </c>
      <c r="Y45" s="69">
        <v>0</v>
      </c>
      <c r="Z45" s="69">
        <v>0</v>
      </c>
      <c r="AA45" s="69">
        <v>97</v>
      </c>
      <c r="AB45" s="160">
        <v>150</v>
      </c>
      <c r="AC45" s="69">
        <v>50</v>
      </c>
    </row>
    <row r="46" spans="1:29" s="96" customFormat="1" x14ac:dyDescent="0.25">
      <c r="A46" s="81">
        <v>43</v>
      </c>
      <c r="B46" s="69" t="s">
        <v>169</v>
      </c>
      <c r="C46" s="14" t="s">
        <v>379</v>
      </c>
      <c r="D46" s="98">
        <v>22</v>
      </c>
      <c r="E46" s="97" t="s">
        <v>18</v>
      </c>
      <c r="F46" s="95">
        <v>11</v>
      </c>
      <c r="G46" s="97">
        <v>3</v>
      </c>
      <c r="H46" s="69">
        <v>1</v>
      </c>
      <c r="I46" s="69">
        <v>1</v>
      </c>
      <c r="J46" s="69">
        <v>0</v>
      </c>
      <c r="K46" s="69">
        <v>0</v>
      </c>
      <c r="L46" s="69">
        <v>90</v>
      </c>
      <c r="M46" s="69">
        <v>160</v>
      </c>
      <c r="N46" s="69">
        <v>58</v>
      </c>
      <c r="P46" s="81">
        <v>43</v>
      </c>
      <c r="Q46" s="97" t="s">
        <v>229</v>
      </c>
      <c r="R46" s="151" t="s">
        <v>429</v>
      </c>
      <c r="S46" s="97">
        <v>10</v>
      </c>
      <c r="T46" s="97" t="s">
        <v>19</v>
      </c>
      <c r="U46" s="95">
        <v>6.9</v>
      </c>
      <c r="V46" s="97">
        <v>6</v>
      </c>
      <c r="W46" s="69">
        <v>1</v>
      </c>
      <c r="X46" s="69">
        <v>1</v>
      </c>
      <c r="Y46" s="69">
        <v>0</v>
      </c>
      <c r="Z46" s="69">
        <v>1</v>
      </c>
      <c r="AA46" s="69">
        <v>89</v>
      </c>
      <c r="AB46" s="160">
        <v>170</v>
      </c>
      <c r="AC46" s="69">
        <v>65</v>
      </c>
    </row>
    <row r="47" spans="1:29" s="96" customFormat="1" x14ac:dyDescent="0.25">
      <c r="A47" s="81">
        <v>44</v>
      </c>
      <c r="B47" s="69" t="s">
        <v>170</v>
      </c>
      <c r="C47" s="14" t="s">
        <v>380</v>
      </c>
      <c r="D47" s="98">
        <v>11</v>
      </c>
      <c r="E47" s="97" t="s">
        <v>19</v>
      </c>
      <c r="F47" s="95">
        <v>9.5</v>
      </c>
      <c r="G47" s="97">
        <v>4</v>
      </c>
      <c r="H47" s="69">
        <v>1</v>
      </c>
      <c r="I47" s="69">
        <v>1</v>
      </c>
      <c r="J47" s="69">
        <v>0</v>
      </c>
      <c r="K47" s="69">
        <v>0</v>
      </c>
      <c r="L47" s="69">
        <v>89</v>
      </c>
      <c r="M47" s="69">
        <v>160</v>
      </c>
      <c r="N47" s="69">
        <v>55</v>
      </c>
      <c r="P47" s="81">
        <v>44</v>
      </c>
      <c r="Q47" s="97" t="s">
        <v>230</v>
      </c>
      <c r="R47" s="15" t="s">
        <v>430</v>
      </c>
      <c r="S47" s="98">
        <v>2</v>
      </c>
      <c r="T47" s="97" t="s">
        <v>18</v>
      </c>
      <c r="U47" s="95">
        <v>5.3</v>
      </c>
      <c r="V47" s="97">
        <v>6</v>
      </c>
      <c r="W47" s="69">
        <v>1</v>
      </c>
      <c r="X47" s="69">
        <v>1</v>
      </c>
      <c r="Y47" s="69">
        <v>0</v>
      </c>
      <c r="Z47" s="69">
        <v>1</v>
      </c>
      <c r="AA47" s="69">
        <v>88</v>
      </c>
      <c r="AB47" s="160">
        <v>150</v>
      </c>
      <c r="AC47" s="69">
        <v>60</v>
      </c>
    </row>
    <row r="48" spans="1:29" s="96" customFormat="1" x14ac:dyDescent="0.25">
      <c r="A48" s="81">
        <v>45</v>
      </c>
      <c r="B48" s="69" t="s">
        <v>171</v>
      </c>
      <c r="C48" s="94" t="s">
        <v>381</v>
      </c>
      <c r="D48" s="97">
        <v>4</v>
      </c>
      <c r="E48" s="97" t="s">
        <v>18</v>
      </c>
      <c r="F48" s="95">
        <v>8</v>
      </c>
      <c r="G48" s="97">
        <v>3</v>
      </c>
      <c r="H48" s="69">
        <v>1</v>
      </c>
      <c r="I48" s="69">
        <v>1</v>
      </c>
      <c r="J48" s="69">
        <v>1</v>
      </c>
      <c r="K48" s="69">
        <v>1</v>
      </c>
      <c r="L48" s="69">
        <v>90</v>
      </c>
      <c r="M48" s="69">
        <v>150</v>
      </c>
      <c r="N48" s="69">
        <v>45</v>
      </c>
      <c r="P48" s="81">
        <v>45</v>
      </c>
      <c r="Q48" s="97" t="s">
        <v>231</v>
      </c>
      <c r="R48" s="15" t="s">
        <v>431</v>
      </c>
      <c r="S48" s="98">
        <v>1</v>
      </c>
      <c r="T48" s="97" t="s">
        <v>18</v>
      </c>
      <c r="U48" s="69">
        <v>4.4000000000000004</v>
      </c>
      <c r="V48" s="97">
        <v>4</v>
      </c>
      <c r="W48" s="69">
        <v>1</v>
      </c>
      <c r="X48" s="69">
        <v>1</v>
      </c>
      <c r="Y48" s="69">
        <v>0</v>
      </c>
      <c r="Z48" s="69">
        <v>1</v>
      </c>
      <c r="AA48" s="69">
        <v>86</v>
      </c>
      <c r="AB48" s="160">
        <v>180</v>
      </c>
      <c r="AC48" s="69">
        <v>50</v>
      </c>
    </row>
    <row r="49" spans="1:29" s="96" customFormat="1" x14ac:dyDescent="0.25">
      <c r="A49" s="81">
        <v>46</v>
      </c>
      <c r="B49" s="69" t="s">
        <v>172</v>
      </c>
      <c r="C49" s="94" t="s">
        <v>382</v>
      </c>
      <c r="D49" s="97">
        <v>7</v>
      </c>
      <c r="E49" s="97" t="s">
        <v>18</v>
      </c>
      <c r="F49" s="95">
        <v>7</v>
      </c>
      <c r="G49" s="97">
        <v>3</v>
      </c>
      <c r="H49" s="69">
        <v>1</v>
      </c>
      <c r="I49" s="69">
        <v>1</v>
      </c>
      <c r="J49" s="69">
        <v>0</v>
      </c>
      <c r="K49" s="69">
        <v>0</v>
      </c>
      <c r="L49" s="69">
        <v>91</v>
      </c>
      <c r="M49" s="69">
        <v>160</v>
      </c>
      <c r="N49" s="69">
        <v>55</v>
      </c>
      <c r="P49" s="81">
        <v>46</v>
      </c>
      <c r="Q49" s="97" t="s">
        <v>232</v>
      </c>
      <c r="R49" s="15" t="s">
        <v>432</v>
      </c>
      <c r="S49" s="97">
        <v>24</v>
      </c>
      <c r="T49" s="97" t="s">
        <v>19</v>
      </c>
      <c r="U49" s="69">
        <v>11</v>
      </c>
      <c r="V49" s="97">
        <v>1</v>
      </c>
      <c r="W49" s="69">
        <v>1</v>
      </c>
      <c r="X49" s="69">
        <v>1</v>
      </c>
      <c r="Y49" s="69">
        <v>0</v>
      </c>
      <c r="Z49" s="69">
        <v>0</v>
      </c>
      <c r="AA49" s="69">
        <v>98</v>
      </c>
      <c r="AB49" s="160">
        <v>155</v>
      </c>
      <c r="AC49" s="69">
        <v>40</v>
      </c>
    </row>
    <row r="50" spans="1:29" s="96" customFormat="1" x14ac:dyDescent="0.25">
      <c r="A50" s="81">
        <v>47</v>
      </c>
      <c r="B50" s="69" t="s">
        <v>176</v>
      </c>
      <c r="C50" s="151" t="s">
        <v>383</v>
      </c>
      <c r="D50" s="97">
        <v>10</v>
      </c>
      <c r="E50" s="97" t="s">
        <v>19</v>
      </c>
      <c r="F50" s="95">
        <v>8.6999999999999993</v>
      </c>
      <c r="G50" s="97">
        <v>3</v>
      </c>
      <c r="H50" s="69">
        <v>1</v>
      </c>
      <c r="I50" s="69">
        <v>1</v>
      </c>
      <c r="J50" s="69">
        <v>0</v>
      </c>
      <c r="K50" s="69">
        <v>0</v>
      </c>
      <c r="L50" s="69">
        <v>98</v>
      </c>
      <c r="M50" s="69">
        <v>121</v>
      </c>
      <c r="N50" s="69">
        <v>40</v>
      </c>
      <c r="P50" s="81">
        <v>47</v>
      </c>
      <c r="Q50" s="97" t="s">
        <v>233</v>
      </c>
      <c r="R50" s="14" t="s">
        <v>433</v>
      </c>
      <c r="S50" s="97">
        <v>14</v>
      </c>
      <c r="T50" s="97" t="s">
        <v>18</v>
      </c>
      <c r="U50" s="69">
        <v>9</v>
      </c>
      <c r="V50" s="97">
        <v>3</v>
      </c>
      <c r="W50" s="69">
        <v>0</v>
      </c>
      <c r="X50" s="69">
        <v>1</v>
      </c>
      <c r="Y50" s="69">
        <v>0</v>
      </c>
      <c r="Z50" s="69">
        <v>1</v>
      </c>
      <c r="AA50" s="69">
        <v>90</v>
      </c>
      <c r="AB50" s="160">
        <v>170</v>
      </c>
      <c r="AC50" s="69">
        <v>35</v>
      </c>
    </row>
    <row r="51" spans="1:29" s="96" customFormat="1" x14ac:dyDescent="0.25">
      <c r="A51" s="81">
        <v>48</v>
      </c>
      <c r="B51" s="69" t="s">
        <v>179</v>
      </c>
      <c r="C51" s="15" t="s">
        <v>384</v>
      </c>
      <c r="D51" s="98">
        <v>1</v>
      </c>
      <c r="E51" s="97" t="s">
        <v>19</v>
      </c>
      <c r="F51" s="95">
        <v>3.4</v>
      </c>
      <c r="G51" s="97">
        <v>3</v>
      </c>
      <c r="H51" s="69">
        <v>1</v>
      </c>
      <c r="I51" s="69">
        <v>0</v>
      </c>
      <c r="J51" s="69">
        <v>0</v>
      </c>
      <c r="K51" s="69">
        <v>0</v>
      </c>
      <c r="L51" s="69">
        <v>90</v>
      </c>
      <c r="M51" s="69">
        <v>160</v>
      </c>
      <c r="N51" s="69">
        <v>52</v>
      </c>
      <c r="P51" s="81">
        <v>48</v>
      </c>
      <c r="Q51" s="97" t="s">
        <v>234</v>
      </c>
      <c r="R51" s="14" t="s">
        <v>434</v>
      </c>
      <c r="S51" s="97">
        <v>14</v>
      </c>
      <c r="T51" s="97" t="s">
        <v>18</v>
      </c>
      <c r="U51" s="69">
        <v>4.4000000000000004</v>
      </c>
      <c r="V51" s="97">
        <v>5</v>
      </c>
      <c r="W51" s="69">
        <v>1</v>
      </c>
      <c r="X51" s="69">
        <v>1</v>
      </c>
      <c r="Y51" s="69">
        <v>1</v>
      </c>
      <c r="Z51" s="69">
        <v>1</v>
      </c>
      <c r="AA51" s="69">
        <v>91</v>
      </c>
      <c r="AB51" s="160">
        <v>150</v>
      </c>
      <c r="AC51" s="69">
        <v>40</v>
      </c>
    </row>
    <row r="52" spans="1:29" s="96" customFormat="1" x14ac:dyDescent="0.25">
      <c r="A52" s="81">
        <v>49</v>
      </c>
      <c r="B52" s="69" t="s">
        <v>177</v>
      </c>
      <c r="C52" s="15" t="s">
        <v>385</v>
      </c>
      <c r="D52" s="100">
        <v>7</v>
      </c>
      <c r="E52" s="99" t="s">
        <v>18</v>
      </c>
      <c r="F52" s="95">
        <v>12.5</v>
      </c>
      <c r="G52" s="99">
        <v>3</v>
      </c>
      <c r="H52" s="69">
        <v>0</v>
      </c>
      <c r="I52" s="69">
        <v>0</v>
      </c>
      <c r="J52" s="69">
        <v>0</v>
      </c>
      <c r="K52" s="69">
        <v>0</v>
      </c>
      <c r="L52" s="69">
        <v>96</v>
      </c>
      <c r="M52" s="69">
        <v>175</v>
      </c>
      <c r="N52" s="69">
        <v>35</v>
      </c>
      <c r="P52" s="81">
        <v>49</v>
      </c>
      <c r="Q52" s="97" t="s">
        <v>235</v>
      </c>
      <c r="R52" s="14" t="s">
        <v>435</v>
      </c>
      <c r="S52" s="97">
        <v>14</v>
      </c>
      <c r="T52" s="97" t="s">
        <v>19</v>
      </c>
      <c r="U52" s="69">
        <v>9.8000000000000007</v>
      </c>
      <c r="V52" s="97">
        <v>4</v>
      </c>
      <c r="W52" s="69">
        <v>1</v>
      </c>
      <c r="X52" s="69">
        <v>1</v>
      </c>
      <c r="Y52" s="69">
        <v>0</v>
      </c>
      <c r="Z52" s="69">
        <v>0</v>
      </c>
      <c r="AA52" s="69">
        <v>98</v>
      </c>
      <c r="AB52" s="160">
        <v>170</v>
      </c>
      <c r="AC52" s="69">
        <v>30</v>
      </c>
    </row>
    <row r="53" spans="1:29" s="96" customFormat="1" x14ac:dyDescent="0.25">
      <c r="A53" s="81">
        <v>50</v>
      </c>
      <c r="B53" s="69" t="s">
        <v>178</v>
      </c>
      <c r="C53" s="14" t="s">
        <v>386</v>
      </c>
      <c r="D53" s="102">
        <v>2</v>
      </c>
      <c r="E53" s="101" t="s">
        <v>19</v>
      </c>
      <c r="F53" s="95">
        <v>6.2</v>
      </c>
      <c r="G53" s="101">
        <v>7</v>
      </c>
      <c r="H53" s="69">
        <v>1</v>
      </c>
      <c r="I53" s="69">
        <v>1</v>
      </c>
      <c r="J53" s="69">
        <v>0</v>
      </c>
      <c r="K53" s="69">
        <v>1</v>
      </c>
      <c r="L53" s="69">
        <v>91</v>
      </c>
      <c r="M53" s="69">
        <v>159</v>
      </c>
      <c r="N53" s="69">
        <v>55</v>
      </c>
      <c r="P53" s="81">
        <v>50</v>
      </c>
      <c r="Q53" s="103" t="s">
        <v>236</v>
      </c>
      <c r="R53" s="14" t="s">
        <v>436</v>
      </c>
      <c r="S53" s="97">
        <v>15</v>
      </c>
      <c r="T53" s="97" t="s">
        <v>18</v>
      </c>
      <c r="U53" s="69">
        <v>7</v>
      </c>
      <c r="V53" s="97">
        <v>7</v>
      </c>
      <c r="W53" s="69">
        <v>1</v>
      </c>
      <c r="X53" s="69">
        <v>1</v>
      </c>
      <c r="Y53" s="69">
        <v>0</v>
      </c>
      <c r="Z53" s="69">
        <v>0</v>
      </c>
      <c r="AA53" s="69">
        <v>96</v>
      </c>
      <c r="AB53" s="160">
        <v>150</v>
      </c>
      <c r="AC53" s="69">
        <v>50</v>
      </c>
    </row>
    <row r="54" spans="1:29" x14ac:dyDescent="0.25">
      <c r="F54" s="86"/>
      <c r="G54" s="86"/>
      <c r="P54" s="82">
        <v>51</v>
      </c>
      <c r="Q54" s="85" t="s">
        <v>237</v>
      </c>
      <c r="R54" s="14" t="s">
        <v>437</v>
      </c>
      <c r="S54" s="83">
        <v>11</v>
      </c>
      <c r="T54" s="83" t="s">
        <v>18</v>
      </c>
      <c r="U54" s="57">
        <v>8.6</v>
      </c>
      <c r="V54" s="83">
        <v>5</v>
      </c>
      <c r="W54" s="57">
        <v>1</v>
      </c>
      <c r="X54" s="57">
        <v>1</v>
      </c>
      <c r="Y54" s="57">
        <v>0</v>
      </c>
      <c r="Z54" s="57">
        <v>0</v>
      </c>
      <c r="AA54" s="57">
        <v>89</v>
      </c>
      <c r="AB54" s="589">
        <v>170</v>
      </c>
      <c r="AC54" s="57">
        <v>45</v>
      </c>
    </row>
    <row r="55" spans="1:29" x14ac:dyDescent="0.35">
      <c r="U55" s="86"/>
      <c r="V55" s="86"/>
    </row>
    <row r="56" spans="1:29" ht="13" x14ac:dyDescent="0.35">
      <c r="C56" s="205" t="s">
        <v>455</v>
      </c>
      <c r="D56" s="423" t="s">
        <v>2</v>
      </c>
      <c r="E56" s="311" t="s">
        <v>0</v>
      </c>
      <c r="F56" s="423" t="s">
        <v>283</v>
      </c>
      <c r="G56" s="311" t="s">
        <v>284</v>
      </c>
    </row>
    <row r="57" spans="1:29" ht="13" x14ac:dyDescent="0.35">
      <c r="C57" s="87" t="s">
        <v>285</v>
      </c>
      <c r="D57" s="82"/>
      <c r="E57" s="82"/>
      <c r="F57" s="88"/>
      <c r="G57" s="57"/>
    </row>
    <row r="58" spans="1:29" x14ac:dyDescent="0.35">
      <c r="C58" s="89" t="s">
        <v>304</v>
      </c>
      <c r="D58" s="82">
        <f>COUNTIF(D$4:$D$53, "&lt;=6")</f>
        <v>29</v>
      </c>
      <c r="E58" s="82">
        <f>COUNTIF($S$4:S$54, "&lt;=6")</f>
        <v>30</v>
      </c>
      <c r="F58" s="90">
        <f>D58/50</f>
        <v>0.57999999999999996</v>
      </c>
      <c r="G58" s="90">
        <f>E58/51</f>
        <v>0.58823529411764708</v>
      </c>
      <c r="I58" s="294"/>
    </row>
    <row r="59" spans="1:29" x14ac:dyDescent="0.35">
      <c r="C59" s="89" t="s">
        <v>305</v>
      </c>
      <c r="D59" s="82">
        <f>COUNTIF(D$4:$D$53, "&gt;6")</f>
        <v>21</v>
      </c>
      <c r="E59" s="82">
        <f>COUNTIF($S$4:S$54, "&gt;6")</f>
        <v>21</v>
      </c>
      <c r="F59" s="90">
        <f>D59/50</f>
        <v>0.42</v>
      </c>
      <c r="G59" s="90">
        <f>E59/51</f>
        <v>0.41176470588235292</v>
      </c>
    </row>
    <row r="60" spans="1:29" ht="13" x14ac:dyDescent="0.35">
      <c r="C60" s="87" t="s">
        <v>286</v>
      </c>
      <c r="D60" s="82"/>
      <c r="E60" s="82"/>
      <c r="F60" s="82"/>
      <c r="G60" s="57"/>
    </row>
    <row r="61" spans="1:29" x14ac:dyDescent="0.35">
      <c r="C61" s="89" t="s">
        <v>18</v>
      </c>
      <c r="D61" s="82">
        <f>COUNTIF($E$4:$E$53, "Male")</f>
        <v>29</v>
      </c>
      <c r="E61" s="82">
        <f>COUNTIF($T$4:$T$54, "Male")</f>
        <v>30</v>
      </c>
      <c r="F61" s="90">
        <f>D61/50</f>
        <v>0.57999999999999996</v>
      </c>
      <c r="G61" s="90">
        <f>E61/51</f>
        <v>0.58823529411764708</v>
      </c>
    </row>
    <row r="62" spans="1:29" x14ac:dyDescent="0.35">
      <c r="C62" s="284" t="s">
        <v>19</v>
      </c>
      <c r="D62" s="194">
        <f>COUNTIF($E$4:$E$53, "Female")</f>
        <v>21</v>
      </c>
      <c r="E62" s="194">
        <f>COUNTIF($T$4:$T$54, "Female")</f>
        <v>21</v>
      </c>
      <c r="F62" s="285">
        <f>D62/50</f>
        <v>0.42</v>
      </c>
      <c r="G62" s="285">
        <f>E62/51</f>
        <v>0.41176470588235292</v>
      </c>
    </row>
    <row r="63" spans="1:29" ht="13" x14ac:dyDescent="0.35">
      <c r="C63" s="87" t="s">
        <v>282</v>
      </c>
      <c r="D63" s="290" t="s">
        <v>766</v>
      </c>
      <c r="E63" s="290" t="s">
        <v>289</v>
      </c>
      <c r="F63" s="82"/>
      <c r="G63" s="57"/>
    </row>
    <row r="64" spans="1:29" ht="26" x14ac:dyDescent="0.35">
      <c r="C64" s="87" t="s">
        <v>58</v>
      </c>
      <c r="D64" s="291" t="s">
        <v>306</v>
      </c>
      <c r="E64" s="291" t="s">
        <v>765</v>
      </c>
      <c r="F64" s="82"/>
      <c r="G64" s="57"/>
    </row>
    <row r="65" spans="3:11" ht="13" x14ac:dyDescent="0.25">
      <c r="C65" s="286" t="s">
        <v>287</v>
      </c>
      <c r="D65" s="287"/>
      <c r="E65" s="287"/>
      <c r="F65" s="288"/>
      <c r="G65" s="289"/>
    </row>
    <row r="66" spans="3:11" ht="13" x14ac:dyDescent="0.35">
      <c r="C66" s="91" t="s">
        <v>278</v>
      </c>
      <c r="D66" s="82">
        <f>COUNTIF($I$4:$I$53, "1")</f>
        <v>46</v>
      </c>
      <c r="E66" s="82">
        <f>COUNTIF($W$4:$W$54, "1")</f>
        <v>49</v>
      </c>
      <c r="F66" s="90">
        <f>D66/50</f>
        <v>0.92</v>
      </c>
      <c r="G66" s="90">
        <f>E66/51</f>
        <v>0.96078431372549022</v>
      </c>
    </row>
    <row r="67" spans="3:11" ht="13" x14ac:dyDescent="0.35">
      <c r="C67" s="91" t="s">
        <v>279</v>
      </c>
      <c r="D67" s="82">
        <f>COUNTIF($I$4:$I$53, "1")</f>
        <v>46</v>
      </c>
      <c r="E67" s="82">
        <f>COUNTIF($X$4:$X$54, "1")</f>
        <v>48</v>
      </c>
      <c r="F67" s="90">
        <f>D67/50</f>
        <v>0.92</v>
      </c>
      <c r="G67" s="90">
        <f>E67/51</f>
        <v>0.94117647058823528</v>
      </c>
      <c r="I67" s="92"/>
      <c r="J67" s="65"/>
      <c r="K67" s="65"/>
    </row>
    <row r="68" spans="3:11" ht="13" x14ac:dyDescent="0.35">
      <c r="C68" s="91" t="s">
        <v>280</v>
      </c>
      <c r="D68" s="82">
        <f>COUNTIF($J$4:$J$53, "1")</f>
        <v>2</v>
      </c>
      <c r="E68" s="82">
        <f>COUNTIF($Y$4:$Y$54, "1")</f>
        <v>4</v>
      </c>
      <c r="F68" s="90">
        <f>D68/50</f>
        <v>0.04</v>
      </c>
      <c r="G68" s="90">
        <f>E68/51</f>
        <v>7.8431372549019607E-2</v>
      </c>
      <c r="I68" s="92"/>
      <c r="J68" s="65"/>
      <c r="K68" s="65"/>
    </row>
    <row r="69" spans="3:11" ht="13" x14ac:dyDescent="0.35">
      <c r="C69" s="91" t="s">
        <v>281</v>
      </c>
      <c r="D69" s="82">
        <f>COUNTIF($K$4:$K$53, "1")</f>
        <v>31</v>
      </c>
      <c r="E69" s="82">
        <f>COUNTIF($Z$4:$Z$54, "1")</f>
        <v>25</v>
      </c>
      <c r="F69" s="90">
        <f>D69/50</f>
        <v>0.62</v>
      </c>
      <c r="G69" s="90">
        <f>E69/51</f>
        <v>0.49019607843137253</v>
      </c>
    </row>
    <row r="70" spans="3:11" ht="15" x14ac:dyDescent="0.35">
      <c r="C70" s="87" t="s">
        <v>288</v>
      </c>
      <c r="D70" s="82"/>
      <c r="E70" s="82"/>
      <c r="F70" s="93"/>
      <c r="G70" s="57"/>
    </row>
    <row r="71" spans="3:11" x14ac:dyDescent="0.35">
      <c r="C71" s="89" t="s">
        <v>450</v>
      </c>
      <c r="D71" s="82">
        <f>COUNTIF($L$4:$L$53, "&gt;=92")</f>
        <v>9</v>
      </c>
      <c r="E71" s="82">
        <f>COUNTIF($AA$4:$AA$54, "&gt;=92")</f>
        <v>14</v>
      </c>
      <c r="F71" s="90">
        <f t="shared" ref="F71:F80" si="0">D71/50</f>
        <v>0.18</v>
      </c>
      <c r="G71" s="90">
        <f t="shared" ref="G71:G80" si="1">E71/51</f>
        <v>0.27450980392156865</v>
      </c>
    </row>
    <row r="72" spans="3:11" x14ac:dyDescent="0.35">
      <c r="C72" s="89" t="s">
        <v>451</v>
      </c>
      <c r="D72" s="82">
        <f>COUNTIF($L$4:$L$53, "&lt;92")</f>
        <v>41</v>
      </c>
      <c r="E72" s="82">
        <f>COUNTIF($AA$4:$AA$54, "&lt;92")</f>
        <v>37</v>
      </c>
      <c r="F72" s="90">
        <f t="shared" si="0"/>
        <v>0.82</v>
      </c>
      <c r="G72" s="90">
        <f t="shared" si="1"/>
        <v>0.72549019607843135</v>
      </c>
    </row>
    <row r="73" spans="3:11" ht="13" x14ac:dyDescent="0.35">
      <c r="C73" s="87" t="s">
        <v>819</v>
      </c>
      <c r="D73" s="82">
        <f>SUM(D74:D75)</f>
        <v>27</v>
      </c>
      <c r="E73" s="82">
        <f>SUM(E74:E75)</f>
        <v>31</v>
      </c>
      <c r="F73" s="90">
        <f t="shared" si="0"/>
        <v>0.54</v>
      </c>
      <c r="G73" s="90">
        <f t="shared" si="1"/>
        <v>0.60784313725490191</v>
      </c>
    </row>
    <row r="74" spans="3:11" x14ac:dyDescent="0.35">
      <c r="C74" s="89" t="s">
        <v>324</v>
      </c>
      <c r="D74" s="82">
        <f>COUNTIFS($D$4:$D$53, "&lt;12", $M$4:$M$53, "&gt;160")</f>
        <v>20</v>
      </c>
      <c r="E74" s="82">
        <f>COUNTIFS($S$4:$S$54, "&lt;12", $AB$4:$AB$54, "&gt;160")</f>
        <v>17</v>
      </c>
      <c r="F74" s="90">
        <f t="shared" si="0"/>
        <v>0.4</v>
      </c>
      <c r="G74" s="90">
        <f t="shared" si="1"/>
        <v>0.33333333333333331</v>
      </c>
    </row>
    <row r="75" spans="3:11" x14ac:dyDescent="0.35">
      <c r="C75" s="89" t="s">
        <v>325</v>
      </c>
      <c r="D75" s="82">
        <f>COUNTIFS($D$4:$D$53, "&gt;=12", $M$4:$M$53, "&gt;120")</f>
        <v>7</v>
      </c>
      <c r="E75" s="82">
        <f>COUNTIFS($S$4:$S$54, "&gt;=12", $AB$4:$AB$54, "&gt;120")</f>
        <v>14</v>
      </c>
      <c r="F75" s="90">
        <f t="shared" si="0"/>
        <v>0.14000000000000001</v>
      </c>
      <c r="G75" s="90">
        <f t="shared" si="1"/>
        <v>0.27450980392156865</v>
      </c>
    </row>
    <row r="76" spans="3:11" ht="13" customHeight="1" x14ac:dyDescent="0.35">
      <c r="C76" s="87" t="s">
        <v>820</v>
      </c>
      <c r="D76" s="82">
        <f>SUM(D77:D79)</f>
        <v>27</v>
      </c>
      <c r="E76" s="82">
        <f>SUM(E77:E79)</f>
        <v>30</v>
      </c>
      <c r="F76" s="90">
        <f t="shared" si="0"/>
        <v>0.54</v>
      </c>
      <c r="G76" s="90">
        <f t="shared" si="1"/>
        <v>0.58823529411764708</v>
      </c>
    </row>
    <row r="77" spans="3:11" x14ac:dyDescent="0.35">
      <c r="C77" s="89" t="s">
        <v>326</v>
      </c>
      <c r="D77" s="82">
        <f>COUNTIFS($D$4:$D$53, "&lt;=2", $N$4:$N$53, "&gt;=60")</f>
        <v>4</v>
      </c>
      <c r="E77" s="82">
        <f>COUNTIFS($S$4:$S$54, "&lt;=2", $AC$4:$AC$54, "&gt;=60")</f>
        <v>4</v>
      </c>
      <c r="F77" s="90">
        <f t="shared" si="0"/>
        <v>0.08</v>
      </c>
      <c r="G77" s="90">
        <f t="shared" si="1"/>
        <v>7.8431372549019607E-2</v>
      </c>
    </row>
    <row r="78" spans="3:11" x14ac:dyDescent="0.35">
      <c r="C78" s="89" t="s">
        <v>327</v>
      </c>
      <c r="D78" s="82">
        <f>COUNTIFS($D$4:$D$53, "&lt;12", $N$4:$N$53, "&gt;=50")-6</f>
        <v>17</v>
      </c>
      <c r="E78" s="82">
        <f>COUNTIFS($S$4:$S$54, "&lt;12", $AC$4:$AC$54, "&gt;=50")-4</f>
        <v>16</v>
      </c>
      <c r="F78" s="90">
        <f t="shared" si="0"/>
        <v>0.34</v>
      </c>
      <c r="G78" s="90">
        <f t="shared" si="1"/>
        <v>0.31372549019607843</v>
      </c>
    </row>
    <row r="79" spans="3:11" x14ac:dyDescent="0.35">
      <c r="C79" s="89" t="s">
        <v>328</v>
      </c>
      <c r="D79" s="82">
        <f>COUNTIFS($D$4:$D$53, "&gt;=12", $N$4:$N$53, "&gt;=40")</f>
        <v>6</v>
      </c>
      <c r="E79" s="82">
        <f>COUNTIFS($S$4:$S$54, "&gt;=12", $AC$4:$AC$54, "&gt;=40")</f>
        <v>10</v>
      </c>
      <c r="F79" s="90">
        <f t="shared" si="0"/>
        <v>0.12</v>
      </c>
      <c r="G79" s="90">
        <f t="shared" si="1"/>
        <v>0.19607843137254902</v>
      </c>
    </row>
    <row r="80" spans="3:11" x14ac:dyDescent="0.35">
      <c r="C80" s="84" t="s">
        <v>330</v>
      </c>
      <c r="D80" s="82">
        <f>COUNTIFS($D$4:$D$53, "&lt;12", $N$4:$N$53, "&gt;=50")</f>
        <v>23</v>
      </c>
      <c r="E80" s="82">
        <f>COUNTIFS($S$4:$S$54, "&lt;12", $AC$4:$AC$54, "&gt;=50")</f>
        <v>20</v>
      </c>
      <c r="F80" s="90">
        <f t="shared" si="0"/>
        <v>0.46</v>
      </c>
      <c r="G80" s="90">
        <f t="shared" si="1"/>
        <v>0.39215686274509803</v>
      </c>
    </row>
  </sheetData>
  <autoFilter ref="A3:AC79" xr:uid="{7205345D-73FC-4FDC-878E-0A21D366073B}"/>
  <mergeCells count="23">
    <mergeCell ref="E2:E3"/>
    <mergeCell ref="D2:D3"/>
    <mergeCell ref="P2:P3"/>
    <mergeCell ref="L2:L3"/>
    <mergeCell ref="M2:M3"/>
    <mergeCell ref="N2:N3"/>
    <mergeCell ref="F2:F3"/>
    <mergeCell ref="A1:XFD1"/>
    <mergeCell ref="AC2:AC3"/>
    <mergeCell ref="S2:S3"/>
    <mergeCell ref="T2:T3"/>
    <mergeCell ref="U2:U3"/>
    <mergeCell ref="AA2:AA3"/>
    <mergeCell ref="AB2:AB3"/>
    <mergeCell ref="Q2:Q3"/>
    <mergeCell ref="R2:R3"/>
    <mergeCell ref="V2:V3"/>
    <mergeCell ref="W2:Z2"/>
    <mergeCell ref="A2:A3"/>
    <mergeCell ref="C2:C3"/>
    <mergeCell ref="H2:K2"/>
    <mergeCell ref="B2:B3"/>
    <mergeCell ref="G2:G3"/>
  </mergeCells>
  <pageMargins left="0.7" right="0.7" top="0.75" bottom="0.75" header="0.3" footer="0.3"/>
  <pageSetup paperSize="9" orientation="portrait" r:id="rId1"/>
  <ignoredErrors>
    <ignoredError sqref="D79:E7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1F127-F606-445E-9A26-EA3CBCFE51E2}">
  <dimension ref="A1:AI904"/>
  <sheetViews>
    <sheetView zoomScale="85" zoomScaleNormal="85" workbookViewId="0">
      <pane ySplit="4" topLeftCell="A5" activePane="bottomLeft" state="frozen"/>
      <selection pane="bottomLeft" activeCell="M80" sqref="M80"/>
    </sheetView>
  </sheetViews>
  <sheetFormatPr defaultColWidth="13.33203125" defaultRowHeight="12.5" x14ac:dyDescent="0.35"/>
  <cols>
    <col min="1" max="2" width="5.83203125" style="96" customWidth="1"/>
    <col min="3" max="3" width="22.5" style="107" customWidth="1"/>
    <col min="4" max="4" width="7.9140625" style="107" customWidth="1"/>
    <col min="5" max="5" width="7.9140625" style="109" customWidth="1"/>
    <col min="6" max="6" width="7.9140625" style="96" customWidth="1"/>
    <col min="7" max="8" width="7.9140625" style="110" customWidth="1"/>
    <col min="9" max="9" width="8.75" style="109" customWidth="1"/>
    <col min="10" max="10" width="13" style="96" customWidth="1"/>
    <col min="11" max="11" width="11.5" style="107" customWidth="1"/>
    <col min="12" max="12" width="13.6640625" style="109" customWidth="1"/>
    <col min="13" max="13" width="12.08203125" style="111" customWidth="1"/>
    <col min="14" max="14" width="6.25" style="96" customWidth="1"/>
    <col min="15" max="15" width="6.1640625" style="96" customWidth="1"/>
    <col min="16" max="16" width="17.33203125" style="96" customWidth="1"/>
    <col min="17" max="17" width="8.33203125" style="107" customWidth="1"/>
    <col min="18" max="18" width="8.33203125" style="108" customWidth="1"/>
    <col min="19" max="19" width="8.33203125" style="109" customWidth="1"/>
    <col min="20" max="21" width="8.33203125" style="110" customWidth="1"/>
    <col min="22" max="22" width="8.33203125" style="109" customWidth="1"/>
    <col min="23" max="23" width="8.33203125" style="96" customWidth="1"/>
    <col min="24" max="24" width="12.1640625" style="96" customWidth="1"/>
    <col min="25" max="25" width="11" style="96" customWidth="1"/>
    <col min="26" max="26" width="12.9140625" style="111" customWidth="1"/>
    <col min="27" max="34" width="13.33203125" style="111"/>
    <col min="35" max="16384" width="13.33203125" style="96"/>
  </cols>
  <sheetData>
    <row r="1" spans="1:35" s="454" customFormat="1" ht="20" x14ac:dyDescent="0.35">
      <c r="A1" s="454" t="s">
        <v>778</v>
      </c>
    </row>
    <row r="2" spans="1:35" ht="15.5" customHeight="1" x14ac:dyDescent="0.35">
      <c r="A2" s="475" t="s">
        <v>30</v>
      </c>
      <c r="B2" s="475"/>
      <c r="C2" s="475"/>
      <c r="D2" s="475"/>
      <c r="E2" s="475"/>
      <c r="F2" s="475"/>
      <c r="G2" s="475"/>
      <c r="H2" s="475"/>
      <c r="I2" s="475"/>
      <c r="J2" s="475"/>
      <c r="K2" s="475"/>
      <c r="L2" s="475"/>
      <c r="M2" s="112"/>
      <c r="N2" s="476" t="s">
        <v>29</v>
      </c>
      <c r="O2" s="476"/>
      <c r="P2" s="476"/>
      <c r="Q2" s="476"/>
      <c r="R2" s="476"/>
      <c r="S2" s="476"/>
      <c r="T2" s="476"/>
      <c r="U2" s="476"/>
      <c r="V2" s="476"/>
      <c r="W2" s="476"/>
      <c r="X2" s="476"/>
      <c r="Y2" s="476"/>
      <c r="Z2" s="96"/>
    </row>
    <row r="3" spans="1:35" ht="14" customHeight="1" x14ac:dyDescent="0.35">
      <c r="A3" s="473" t="s">
        <v>9</v>
      </c>
      <c r="B3" s="473" t="s">
        <v>50</v>
      </c>
      <c r="C3" s="473" t="s">
        <v>10</v>
      </c>
      <c r="D3" s="474" t="s">
        <v>782</v>
      </c>
      <c r="E3" s="473" t="s">
        <v>43</v>
      </c>
      <c r="F3" s="473"/>
      <c r="G3" s="473"/>
      <c r="H3" s="473"/>
      <c r="I3" s="473"/>
      <c r="J3" s="114" t="s">
        <v>12</v>
      </c>
      <c r="K3" s="474" t="s">
        <v>54</v>
      </c>
      <c r="L3" s="474" t="s">
        <v>786</v>
      </c>
      <c r="N3" s="114" t="s">
        <v>9</v>
      </c>
      <c r="O3" s="114" t="s">
        <v>50</v>
      </c>
      <c r="P3" s="113" t="s">
        <v>10</v>
      </c>
      <c r="Q3" s="114" t="s">
        <v>47</v>
      </c>
      <c r="R3" s="473" t="s">
        <v>43</v>
      </c>
      <c r="S3" s="473"/>
      <c r="T3" s="473"/>
      <c r="U3" s="473"/>
      <c r="V3" s="473"/>
      <c r="W3" s="115" t="s">
        <v>12</v>
      </c>
      <c r="X3" s="474" t="s">
        <v>54</v>
      </c>
      <c r="Y3" s="474" t="s">
        <v>786</v>
      </c>
      <c r="Z3" s="96"/>
    </row>
    <row r="4" spans="1:35" ht="13" x14ac:dyDescent="0.25">
      <c r="A4" s="473"/>
      <c r="B4" s="473"/>
      <c r="C4" s="473"/>
      <c r="D4" s="474"/>
      <c r="E4" s="116" t="s">
        <v>11</v>
      </c>
      <c r="F4" s="81" t="s">
        <v>309</v>
      </c>
      <c r="G4" s="117" t="s">
        <v>321</v>
      </c>
      <c r="H4" s="118" t="s">
        <v>57</v>
      </c>
      <c r="I4" s="116" t="s">
        <v>1</v>
      </c>
      <c r="J4" s="120" t="s">
        <v>55</v>
      </c>
      <c r="K4" s="474"/>
      <c r="L4" s="474"/>
      <c r="M4" s="119"/>
      <c r="N4" s="114"/>
      <c r="O4" s="114"/>
      <c r="P4" s="113"/>
      <c r="Q4" s="114"/>
      <c r="R4" s="116" t="s">
        <v>11</v>
      </c>
      <c r="S4" s="116" t="s">
        <v>309</v>
      </c>
      <c r="T4" s="117" t="s">
        <v>321</v>
      </c>
      <c r="U4" s="118" t="s">
        <v>57</v>
      </c>
      <c r="V4" s="116" t="s">
        <v>1</v>
      </c>
      <c r="W4" s="120" t="s">
        <v>55</v>
      </c>
      <c r="X4" s="474"/>
      <c r="Y4" s="474"/>
      <c r="Z4" s="121"/>
      <c r="AI4" s="111"/>
    </row>
    <row r="5" spans="1:35" x14ac:dyDescent="0.25">
      <c r="A5" s="81">
        <v>1</v>
      </c>
      <c r="B5" s="69" t="s">
        <v>94</v>
      </c>
      <c r="C5" s="14" t="s">
        <v>337</v>
      </c>
      <c r="D5" s="69">
        <v>9</v>
      </c>
      <c r="E5" s="122">
        <v>6.6</v>
      </c>
      <c r="F5" s="20">
        <v>3.61</v>
      </c>
      <c r="G5" s="123">
        <v>93</v>
      </c>
      <c r="H5" s="117">
        <v>279</v>
      </c>
      <c r="I5" s="124">
        <v>52.36</v>
      </c>
      <c r="J5" s="69" t="s">
        <v>6</v>
      </c>
      <c r="K5" s="125"/>
      <c r="L5" s="20">
        <v>1</v>
      </c>
      <c r="M5" s="126"/>
      <c r="N5" s="69">
        <v>1</v>
      </c>
      <c r="O5" s="69" t="s">
        <v>187</v>
      </c>
      <c r="P5" s="14" t="s">
        <v>387</v>
      </c>
      <c r="Q5" s="69">
        <v>5</v>
      </c>
      <c r="R5" s="95">
        <v>6.69</v>
      </c>
      <c r="S5" s="124">
        <v>2.91</v>
      </c>
      <c r="T5" s="127">
        <v>113</v>
      </c>
      <c r="U5" s="127">
        <v>373</v>
      </c>
      <c r="V5" s="128">
        <v>0.69</v>
      </c>
      <c r="W5" s="81" t="s">
        <v>8</v>
      </c>
      <c r="X5" s="129"/>
      <c r="Y5" s="69">
        <v>10</v>
      </c>
      <c r="Z5" s="121"/>
      <c r="AA5" s="96"/>
      <c r="AB5" s="96"/>
      <c r="AC5" s="96"/>
      <c r="AD5" s="96"/>
      <c r="AE5" s="96"/>
      <c r="AF5" s="96"/>
      <c r="AG5" s="96"/>
      <c r="AH5" s="96"/>
    </row>
    <row r="6" spans="1:35" x14ac:dyDescent="0.25">
      <c r="A6" s="81">
        <v>2</v>
      </c>
      <c r="B6" s="69" t="s">
        <v>98</v>
      </c>
      <c r="C6" s="14" t="s">
        <v>343</v>
      </c>
      <c r="D6" s="69">
        <v>11</v>
      </c>
      <c r="E6" s="122">
        <v>17.690000000000001</v>
      </c>
      <c r="F6" s="130">
        <v>11.78</v>
      </c>
      <c r="G6" s="123">
        <v>107</v>
      </c>
      <c r="H6" s="123">
        <v>603</v>
      </c>
      <c r="I6" s="124">
        <v>84.22</v>
      </c>
      <c r="J6" s="69" t="s">
        <v>6</v>
      </c>
      <c r="K6" s="125" t="s">
        <v>6</v>
      </c>
      <c r="L6" s="20">
        <v>1</v>
      </c>
      <c r="M6" s="126"/>
      <c r="N6" s="69">
        <v>2</v>
      </c>
      <c r="O6" s="69" t="s">
        <v>188</v>
      </c>
      <c r="P6" s="14" t="s">
        <v>388</v>
      </c>
      <c r="Q6" s="69">
        <v>8</v>
      </c>
      <c r="R6" s="116">
        <v>7.6</v>
      </c>
      <c r="S6" s="131">
        <v>2.41</v>
      </c>
      <c r="T6" s="127">
        <v>112</v>
      </c>
      <c r="U6" s="127">
        <v>349</v>
      </c>
      <c r="V6" s="132">
        <v>0.7</v>
      </c>
      <c r="W6" s="69" t="s">
        <v>6</v>
      </c>
      <c r="X6" s="69"/>
      <c r="Y6" s="69">
        <v>1</v>
      </c>
      <c r="Z6" s="121"/>
      <c r="AA6" s="96"/>
      <c r="AB6" s="96"/>
      <c r="AC6" s="96"/>
      <c r="AD6" s="96"/>
      <c r="AE6" s="96"/>
      <c r="AF6" s="96"/>
      <c r="AG6" s="96"/>
      <c r="AH6" s="96"/>
    </row>
    <row r="7" spans="1:35" x14ac:dyDescent="0.25">
      <c r="A7" s="81">
        <v>3</v>
      </c>
      <c r="B7" s="69" t="s">
        <v>102</v>
      </c>
      <c r="C7" s="133" t="s">
        <v>344</v>
      </c>
      <c r="D7" s="69">
        <v>3</v>
      </c>
      <c r="E7" s="134">
        <v>10.43</v>
      </c>
      <c r="F7" s="135">
        <v>5.14</v>
      </c>
      <c r="G7" s="123">
        <v>113</v>
      </c>
      <c r="H7" s="117">
        <v>505</v>
      </c>
      <c r="I7" s="131">
        <v>4.1399999999999997</v>
      </c>
      <c r="J7" s="69" t="s">
        <v>6</v>
      </c>
      <c r="K7" s="125" t="s">
        <v>6</v>
      </c>
      <c r="L7" s="20">
        <v>1</v>
      </c>
      <c r="M7" s="136"/>
      <c r="N7" s="69">
        <v>3</v>
      </c>
      <c r="O7" s="69" t="s">
        <v>189</v>
      </c>
      <c r="P7" s="14" t="s">
        <v>389</v>
      </c>
      <c r="Q7" s="69">
        <v>4</v>
      </c>
      <c r="R7" s="95">
        <v>18.91</v>
      </c>
      <c r="S7" s="124">
        <v>6.48</v>
      </c>
      <c r="T7" s="137">
        <v>116</v>
      </c>
      <c r="U7" s="137">
        <v>432</v>
      </c>
      <c r="V7" s="128">
        <v>12.46</v>
      </c>
      <c r="W7" s="69" t="s">
        <v>5</v>
      </c>
      <c r="X7" s="138" t="s">
        <v>5</v>
      </c>
      <c r="Y7" s="69">
        <v>10</v>
      </c>
      <c r="Z7" s="121"/>
      <c r="AA7" s="96"/>
      <c r="AB7" s="96"/>
      <c r="AC7" s="96"/>
      <c r="AD7" s="96"/>
      <c r="AE7" s="96"/>
      <c r="AF7" s="96"/>
      <c r="AG7" s="96"/>
      <c r="AH7" s="96"/>
    </row>
    <row r="8" spans="1:35" x14ac:dyDescent="0.25">
      <c r="A8" s="81">
        <v>4</v>
      </c>
      <c r="B8" s="69" t="s">
        <v>105</v>
      </c>
      <c r="C8" s="14" t="s">
        <v>338</v>
      </c>
      <c r="D8" s="69">
        <v>8</v>
      </c>
      <c r="E8" s="134">
        <v>26.96</v>
      </c>
      <c r="F8" s="135">
        <v>19.36</v>
      </c>
      <c r="G8" s="123">
        <v>98</v>
      </c>
      <c r="H8" s="117">
        <v>553</v>
      </c>
      <c r="I8" s="131">
        <v>33.549999999999997</v>
      </c>
      <c r="J8" s="69" t="s">
        <v>6</v>
      </c>
      <c r="K8" s="125" t="s">
        <v>6</v>
      </c>
      <c r="L8" s="20">
        <v>7</v>
      </c>
      <c r="M8" s="136"/>
      <c r="N8" s="69">
        <v>4</v>
      </c>
      <c r="O8" s="69" t="s">
        <v>190</v>
      </c>
      <c r="P8" s="14" t="s">
        <v>390</v>
      </c>
      <c r="Q8" s="69">
        <v>12</v>
      </c>
      <c r="R8" s="116">
        <v>12.93</v>
      </c>
      <c r="S8" s="139">
        <v>3.21</v>
      </c>
      <c r="T8" s="123">
        <v>117</v>
      </c>
      <c r="U8" s="117">
        <v>433</v>
      </c>
      <c r="V8" s="140">
        <v>10.37</v>
      </c>
      <c r="W8" s="69" t="s">
        <v>6</v>
      </c>
      <c r="X8" s="138" t="s">
        <v>268</v>
      </c>
      <c r="Y8" s="69">
        <v>4</v>
      </c>
      <c r="Z8" s="121"/>
      <c r="AA8" s="96"/>
      <c r="AB8" s="96"/>
      <c r="AC8" s="96"/>
      <c r="AD8" s="96"/>
      <c r="AE8" s="96"/>
      <c r="AF8" s="96"/>
      <c r="AG8" s="96"/>
      <c r="AH8" s="96"/>
    </row>
    <row r="9" spans="1:35" x14ac:dyDescent="0.25">
      <c r="A9" s="81">
        <v>5</v>
      </c>
      <c r="B9" s="69" t="s">
        <v>108</v>
      </c>
      <c r="C9" s="133" t="s">
        <v>339</v>
      </c>
      <c r="D9" s="20">
        <v>10</v>
      </c>
      <c r="E9" s="134">
        <v>17.18</v>
      </c>
      <c r="F9" s="135">
        <v>3.8</v>
      </c>
      <c r="G9" s="123">
        <v>102</v>
      </c>
      <c r="H9" s="117">
        <v>488</v>
      </c>
      <c r="I9" s="124">
        <v>1.74</v>
      </c>
      <c r="J9" s="69" t="s">
        <v>6</v>
      </c>
      <c r="K9" s="125" t="s">
        <v>6</v>
      </c>
      <c r="L9" s="20">
        <v>1</v>
      </c>
      <c r="M9" s="126"/>
      <c r="N9" s="69">
        <v>5</v>
      </c>
      <c r="O9" s="69" t="s">
        <v>191</v>
      </c>
      <c r="P9" s="14" t="s">
        <v>391</v>
      </c>
      <c r="Q9" s="69">
        <v>15</v>
      </c>
      <c r="R9" s="116">
        <v>11.13</v>
      </c>
      <c r="S9" s="141">
        <v>2.72</v>
      </c>
      <c r="T9" s="117">
        <v>108</v>
      </c>
      <c r="U9" s="117">
        <v>490</v>
      </c>
      <c r="V9" s="140">
        <v>0.85</v>
      </c>
      <c r="W9" s="69" t="s">
        <v>5</v>
      </c>
      <c r="X9" s="138" t="s">
        <v>269</v>
      </c>
      <c r="Y9" s="69">
        <v>10</v>
      </c>
      <c r="Z9" s="96"/>
      <c r="AA9" s="96"/>
      <c r="AB9" s="96"/>
      <c r="AC9" s="96"/>
      <c r="AD9" s="96"/>
      <c r="AE9" s="96"/>
      <c r="AF9" s="96"/>
      <c r="AG9" s="96"/>
      <c r="AH9" s="96"/>
    </row>
    <row r="10" spans="1:35" x14ac:dyDescent="0.25">
      <c r="A10" s="81">
        <v>6</v>
      </c>
      <c r="B10" s="69" t="s">
        <v>109</v>
      </c>
      <c r="C10" s="142" t="s">
        <v>345</v>
      </c>
      <c r="D10" s="69">
        <v>1</v>
      </c>
      <c r="E10" s="134">
        <v>17.03</v>
      </c>
      <c r="F10" s="135">
        <v>9.84</v>
      </c>
      <c r="G10" s="123">
        <v>120</v>
      </c>
      <c r="H10" s="117">
        <v>561</v>
      </c>
      <c r="I10" s="131">
        <v>3.03</v>
      </c>
      <c r="J10" s="69" t="s">
        <v>6</v>
      </c>
      <c r="K10" s="125"/>
      <c r="L10" s="20">
        <v>10</v>
      </c>
      <c r="M10" s="136"/>
      <c r="N10" s="69">
        <v>6</v>
      </c>
      <c r="O10" s="69" t="s">
        <v>192</v>
      </c>
      <c r="P10" s="14" t="s">
        <v>392</v>
      </c>
      <c r="Q10" s="69">
        <v>2</v>
      </c>
      <c r="R10" s="116">
        <v>7.5</v>
      </c>
      <c r="S10" s="139">
        <v>2.52</v>
      </c>
      <c r="T10" s="123">
        <v>101</v>
      </c>
      <c r="U10" s="117" t="s">
        <v>273</v>
      </c>
      <c r="V10" s="140">
        <v>7.58</v>
      </c>
      <c r="W10" s="69" t="s">
        <v>6</v>
      </c>
      <c r="X10" s="138" t="s">
        <v>6</v>
      </c>
      <c r="Y10" s="69">
        <v>10</v>
      </c>
      <c r="Z10" s="96"/>
      <c r="AA10" s="96"/>
      <c r="AB10" s="96"/>
      <c r="AC10" s="96"/>
      <c r="AD10" s="96"/>
      <c r="AE10" s="96"/>
      <c r="AF10" s="96"/>
      <c r="AG10" s="96"/>
      <c r="AH10" s="96"/>
    </row>
    <row r="11" spans="1:35" x14ac:dyDescent="0.25">
      <c r="A11" s="81">
        <v>7</v>
      </c>
      <c r="B11" s="69" t="s">
        <v>113</v>
      </c>
      <c r="C11" s="142" t="s">
        <v>346</v>
      </c>
      <c r="D11" s="69">
        <v>1</v>
      </c>
      <c r="E11" s="134">
        <v>10.81</v>
      </c>
      <c r="F11" s="135">
        <v>2.82</v>
      </c>
      <c r="G11" s="123">
        <v>106</v>
      </c>
      <c r="H11" s="117">
        <v>463</v>
      </c>
      <c r="I11" s="131">
        <v>8.7799999999999994</v>
      </c>
      <c r="J11" s="69" t="s">
        <v>6</v>
      </c>
      <c r="K11" s="125" t="s">
        <v>6</v>
      </c>
      <c r="L11" s="20">
        <v>10</v>
      </c>
      <c r="M11" s="136"/>
      <c r="N11" s="69">
        <v>7</v>
      </c>
      <c r="O11" s="69" t="s">
        <v>193</v>
      </c>
      <c r="P11" s="14" t="s">
        <v>393</v>
      </c>
      <c r="Q11" s="69">
        <v>5</v>
      </c>
      <c r="R11" s="116">
        <v>15.61</v>
      </c>
      <c r="S11" s="141">
        <v>7.97</v>
      </c>
      <c r="T11" s="117">
        <v>109</v>
      </c>
      <c r="U11" s="117">
        <v>413</v>
      </c>
      <c r="V11" s="140">
        <v>17.399999999999999</v>
      </c>
      <c r="W11" s="81" t="s">
        <v>8</v>
      </c>
      <c r="X11" s="129"/>
      <c r="Y11" s="69">
        <v>1</v>
      </c>
      <c r="Z11" s="96"/>
      <c r="AA11" s="96"/>
      <c r="AB11" s="96"/>
      <c r="AC11" s="96"/>
      <c r="AD11" s="96"/>
      <c r="AE11" s="96"/>
      <c r="AF11" s="96"/>
      <c r="AG11" s="96"/>
      <c r="AH11" s="96"/>
    </row>
    <row r="12" spans="1:35" x14ac:dyDescent="0.25">
      <c r="A12" s="81">
        <v>8</v>
      </c>
      <c r="B12" s="69" t="s">
        <v>117</v>
      </c>
      <c r="C12" s="14" t="s">
        <v>347</v>
      </c>
      <c r="D12" s="20">
        <v>23</v>
      </c>
      <c r="E12" s="134">
        <v>22.27</v>
      </c>
      <c r="F12" s="135">
        <v>10.59</v>
      </c>
      <c r="G12" s="123">
        <v>124</v>
      </c>
      <c r="H12" s="117">
        <v>554</v>
      </c>
      <c r="I12" s="131">
        <v>28.88</v>
      </c>
      <c r="J12" s="69" t="s">
        <v>6</v>
      </c>
      <c r="K12" s="125" t="s">
        <v>784</v>
      </c>
      <c r="L12" s="20">
        <v>1</v>
      </c>
      <c r="M12" s="136"/>
      <c r="N12" s="69">
        <v>8</v>
      </c>
      <c r="O12" s="69" t="s">
        <v>194</v>
      </c>
      <c r="P12" s="142" t="s">
        <v>394</v>
      </c>
      <c r="Q12" s="69">
        <v>3</v>
      </c>
      <c r="R12" s="116">
        <v>13.41</v>
      </c>
      <c r="S12" s="139">
        <v>3.97</v>
      </c>
      <c r="T12" s="137">
        <v>107</v>
      </c>
      <c r="U12" s="127" t="s">
        <v>274</v>
      </c>
      <c r="V12" s="128">
        <v>2.6</v>
      </c>
      <c r="W12" s="81" t="s">
        <v>8</v>
      </c>
      <c r="X12" s="138" t="s">
        <v>6</v>
      </c>
      <c r="Y12" s="69">
        <v>1</v>
      </c>
      <c r="Z12" s="96"/>
      <c r="AA12" s="96"/>
      <c r="AB12" s="96"/>
      <c r="AC12" s="96"/>
      <c r="AD12" s="96"/>
      <c r="AE12" s="96"/>
      <c r="AF12" s="96"/>
      <c r="AG12" s="96"/>
      <c r="AH12" s="96"/>
    </row>
    <row r="13" spans="1:35" x14ac:dyDescent="0.25">
      <c r="A13" s="81">
        <v>9</v>
      </c>
      <c r="B13" s="69" t="s">
        <v>119</v>
      </c>
      <c r="C13" s="142" t="s">
        <v>348</v>
      </c>
      <c r="D13" s="20">
        <v>1</v>
      </c>
      <c r="E13" s="134">
        <v>11.78</v>
      </c>
      <c r="F13" s="135">
        <v>7.4</v>
      </c>
      <c r="G13" s="123">
        <v>96</v>
      </c>
      <c r="H13" s="117">
        <v>498</v>
      </c>
      <c r="I13" s="131">
        <v>16.989999999999998</v>
      </c>
      <c r="J13" s="69" t="s">
        <v>6</v>
      </c>
      <c r="K13" s="125" t="s">
        <v>6</v>
      </c>
      <c r="L13" s="20">
        <v>10</v>
      </c>
      <c r="M13" s="136"/>
      <c r="N13" s="69">
        <v>9</v>
      </c>
      <c r="O13" s="69" t="s">
        <v>195</v>
      </c>
      <c r="P13" s="14" t="s">
        <v>395</v>
      </c>
      <c r="Q13" s="69">
        <v>2</v>
      </c>
      <c r="R13" s="116">
        <v>14.95</v>
      </c>
      <c r="S13" s="131">
        <v>5.45</v>
      </c>
      <c r="T13" s="127">
        <v>98</v>
      </c>
      <c r="U13" s="127">
        <v>461</v>
      </c>
      <c r="V13" s="132">
        <v>0.88</v>
      </c>
      <c r="W13" s="69" t="s">
        <v>6</v>
      </c>
      <c r="X13" s="129"/>
      <c r="Y13" s="69">
        <v>10</v>
      </c>
      <c r="Z13" s="96"/>
      <c r="AA13" s="96"/>
      <c r="AB13" s="96"/>
      <c r="AC13" s="96"/>
      <c r="AD13" s="96"/>
      <c r="AE13" s="96"/>
      <c r="AF13" s="96"/>
      <c r="AG13" s="96"/>
      <c r="AH13" s="96"/>
    </row>
    <row r="14" spans="1:35" x14ac:dyDescent="0.25">
      <c r="A14" s="81">
        <v>10</v>
      </c>
      <c r="B14" s="69" t="s">
        <v>123</v>
      </c>
      <c r="C14" s="142" t="s">
        <v>349</v>
      </c>
      <c r="D14" s="69">
        <v>1</v>
      </c>
      <c r="E14" s="134">
        <v>7.75</v>
      </c>
      <c r="F14" s="135">
        <v>3.83</v>
      </c>
      <c r="G14" s="123">
        <v>89</v>
      </c>
      <c r="H14" s="117">
        <v>468</v>
      </c>
      <c r="I14" s="131">
        <v>58.83</v>
      </c>
      <c r="J14" s="69" t="s">
        <v>6</v>
      </c>
      <c r="K14" s="125" t="s">
        <v>6</v>
      </c>
      <c r="L14" s="20">
        <v>7</v>
      </c>
      <c r="M14" s="136"/>
      <c r="N14" s="69">
        <v>10</v>
      </c>
      <c r="O14" s="69" t="s">
        <v>196</v>
      </c>
      <c r="P14" s="14" t="s">
        <v>396</v>
      </c>
      <c r="Q14" s="20">
        <v>7</v>
      </c>
      <c r="R14" s="116">
        <v>24.13</v>
      </c>
      <c r="S14" s="124">
        <v>12.59</v>
      </c>
      <c r="T14" s="127">
        <v>126</v>
      </c>
      <c r="U14" s="127">
        <v>436</v>
      </c>
      <c r="V14" s="132">
        <v>30.29</v>
      </c>
      <c r="W14" s="81" t="s">
        <v>8</v>
      </c>
      <c r="X14" s="138" t="s">
        <v>6</v>
      </c>
      <c r="Y14" s="69">
        <v>1</v>
      </c>
      <c r="Z14" s="96"/>
      <c r="AA14" s="96"/>
      <c r="AB14" s="96"/>
      <c r="AC14" s="96"/>
      <c r="AD14" s="96"/>
      <c r="AE14" s="96"/>
      <c r="AF14" s="96"/>
      <c r="AG14" s="96"/>
      <c r="AH14" s="96"/>
    </row>
    <row r="15" spans="1:35" x14ac:dyDescent="0.25">
      <c r="A15" s="81">
        <v>11</v>
      </c>
      <c r="B15" s="69" t="s">
        <v>173</v>
      </c>
      <c r="C15" s="14" t="s">
        <v>350</v>
      </c>
      <c r="D15" s="20">
        <v>8</v>
      </c>
      <c r="E15" s="134">
        <v>12.45</v>
      </c>
      <c r="F15" s="20">
        <v>5.55</v>
      </c>
      <c r="G15" s="123">
        <v>104</v>
      </c>
      <c r="H15" s="117">
        <v>468</v>
      </c>
      <c r="I15" s="131">
        <v>34.9</v>
      </c>
      <c r="J15" s="81" t="s">
        <v>8</v>
      </c>
      <c r="K15" s="80" t="s">
        <v>5</v>
      </c>
      <c r="L15" s="20">
        <v>1</v>
      </c>
      <c r="M15" s="126"/>
      <c r="N15" s="69">
        <v>11</v>
      </c>
      <c r="O15" s="69" t="s">
        <v>197</v>
      </c>
      <c r="P15" s="14" t="s">
        <v>397</v>
      </c>
      <c r="Q15" s="20">
        <v>1</v>
      </c>
      <c r="R15" s="116">
        <v>9.1999999999999993</v>
      </c>
      <c r="S15" s="131">
        <v>2.4</v>
      </c>
      <c r="T15" s="127">
        <v>118</v>
      </c>
      <c r="U15" s="127">
        <v>553</v>
      </c>
      <c r="V15" s="132">
        <v>0.65</v>
      </c>
      <c r="W15" s="69" t="s">
        <v>6</v>
      </c>
      <c r="X15" s="129"/>
      <c r="Y15" s="69">
        <v>7</v>
      </c>
      <c r="Z15" s="96"/>
      <c r="AA15" s="96"/>
      <c r="AB15" s="96"/>
      <c r="AC15" s="96"/>
      <c r="AD15" s="96"/>
      <c r="AE15" s="96"/>
      <c r="AF15" s="96"/>
      <c r="AG15" s="96"/>
      <c r="AH15" s="96"/>
    </row>
    <row r="16" spans="1:35" x14ac:dyDescent="0.25">
      <c r="A16" s="81">
        <v>12</v>
      </c>
      <c r="B16" s="69" t="s">
        <v>126</v>
      </c>
      <c r="C16" s="14" t="s">
        <v>351</v>
      </c>
      <c r="D16" s="69">
        <v>5</v>
      </c>
      <c r="E16" s="134">
        <v>12.15</v>
      </c>
      <c r="F16" s="135">
        <v>5.33</v>
      </c>
      <c r="G16" s="123">
        <v>98</v>
      </c>
      <c r="H16" s="117">
        <v>632</v>
      </c>
      <c r="I16" s="131">
        <v>16.350000000000001</v>
      </c>
      <c r="J16" s="69" t="s">
        <v>6</v>
      </c>
      <c r="K16" s="125" t="s">
        <v>6</v>
      </c>
      <c r="L16" s="20">
        <v>7</v>
      </c>
      <c r="M16" s="136"/>
      <c r="N16" s="69">
        <v>12</v>
      </c>
      <c r="O16" s="69" t="s">
        <v>198</v>
      </c>
      <c r="P16" s="14" t="s">
        <v>398</v>
      </c>
      <c r="Q16" s="69">
        <v>1</v>
      </c>
      <c r="R16" s="116">
        <v>15.14</v>
      </c>
      <c r="S16" s="139">
        <v>8.91</v>
      </c>
      <c r="T16" s="123">
        <v>112</v>
      </c>
      <c r="U16" s="117">
        <v>334</v>
      </c>
      <c r="V16" s="140">
        <v>5</v>
      </c>
      <c r="W16" s="81" t="s">
        <v>8</v>
      </c>
      <c r="X16" s="69" t="s">
        <v>6</v>
      </c>
      <c r="Y16" s="69">
        <v>10</v>
      </c>
      <c r="Z16" s="96"/>
      <c r="AA16" s="96"/>
      <c r="AB16" s="96"/>
      <c r="AC16" s="96"/>
      <c r="AD16" s="96"/>
      <c r="AE16" s="96"/>
      <c r="AF16" s="96"/>
      <c r="AG16" s="96"/>
      <c r="AH16" s="96"/>
    </row>
    <row r="17" spans="1:34" x14ac:dyDescent="0.25">
      <c r="A17" s="81">
        <v>13</v>
      </c>
      <c r="B17" s="69" t="s">
        <v>130</v>
      </c>
      <c r="C17" s="14" t="s">
        <v>341</v>
      </c>
      <c r="D17" s="69">
        <v>4</v>
      </c>
      <c r="E17" s="134">
        <v>15.9</v>
      </c>
      <c r="F17" s="135">
        <v>5.99</v>
      </c>
      <c r="G17" s="123">
        <v>107</v>
      </c>
      <c r="H17" s="117">
        <v>367</v>
      </c>
      <c r="I17" s="131">
        <v>20.81</v>
      </c>
      <c r="J17" s="69" t="s">
        <v>5</v>
      </c>
      <c r="K17" s="125" t="s">
        <v>5</v>
      </c>
      <c r="L17" s="20">
        <v>10</v>
      </c>
      <c r="M17" s="136"/>
      <c r="N17" s="69">
        <v>13</v>
      </c>
      <c r="O17" s="69" t="s">
        <v>199</v>
      </c>
      <c r="P17" s="14" t="s">
        <v>399</v>
      </c>
      <c r="Q17" s="69">
        <v>1</v>
      </c>
      <c r="R17" s="116">
        <v>12.04</v>
      </c>
      <c r="S17" s="124">
        <v>2.89</v>
      </c>
      <c r="T17" s="123">
        <v>131</v>
      </c>
      <c r="U17" s="127" t="s">
        <v>275</v>
      </c>
      <c r="V17" s="144">
        <v>3.67</v>
      </c>
      <c r="W17" s="69" t="s">
        <v>6</v>
      </c>
      <c r="X17" s="138" t="s">
        <v>268</v>
      </c>
      <c r="Y17" s="69">
        <v>1</v>
      </c>
      <c r="Z17" s="96"/>
      <c r="AA17" s="96"/>
      <c r="AB17" s="96"/>
      <c r="AC17" s="96"/>
      <c r="AD17" s="96"/>
      <c r="AE17" s="96"/>
      <c r="AF17" s="96"/>
      <c r="AG17" s="96"/>
      <c r="AH17" s="96"/>
    </row>
    <row r="18" spans="1:34" x14ac:dyDescent="0.25">
      <c r="A18" s="81">
        <v>14</v>
      </c>
      <c r="B18" s="69" t="s">
        <v>132</v>
      </c>
      <c r="C18" s="14" t="s">
        <v>352</v>
      </c>
      <c r="D18" s="69">
        <v>2</v>
      </c>
      <c r="E18" s="134">
        <v>13.49</v>
      </c>
      <c r="F18" s="135">
        <v>3.58</v>
      </c>
      <c r="G18" s="123">
        <v>93</v>
      </c>
      <c r="H18" s="117">
        <v>307</v>
      </c>
      <c r="I18" s="131">
        <v>2.87</v>
      </c>
      <c r="J18" s="69" t="s">
        <v>6</v>
      </c>
      <c r="K18" s="125" t="s">
        <v>6</v>
      </c>
      <c r="L18" s="20">
        <v>1</v>
      </c>
      <c r="M18" s="136"/>
      <c r="N18" s="69">
        <v>14</v>
      </c>
      <c r="O18" s="69" t="s">
        <v>200</v>
      </c>
      <c r="P18" s="14" t="s">
        <v>400</v>
      </c>
      <c r="Q18" s="69">
        <v>1</v>
      </c>
      <c r="R18" s="116">
        <v>13.52</v>
      </c>
      <c r="S18" s="131">
        <v>3.33</v>
      </c>
      <c r="T18" s="137">
        <v>135</v>
      </c>
      <c r="U18" s="127">
        <v>526</v>
      </c>
      <c r="V18" s="128">
        <v>17.440000000000001</v>
      </c>
      <c r="W18" s="69" t="s">
        <v>5</v>
      </c>
      <c r="X18" s="129"/>
      <c r="Y18" s="69">
        <v>10</v>
      </c>
      <c r="Z18" s="96"/>
      <c r="AA18" s="96"/>
      <c r="AB18" s="96"/>
      <c r="AC18" s="96"/>
      <c r="AD18" s="96"/>
      <c r="AE18" s="96"/>
      <c r="AF18" s="96"/>
      <c r="AG18" s="96"/>
      <c r="AH18" s="96"/>
    </row>
    <row r="19" spans="1:34" x14ac:dyDescent="0.25">
      <c r="A19" s="81">
        <v>15</v>
      </c>
      <c r="B19" s="69" t="s">
        <v>135</v>
      </c>
      <c r="C19" s="14" t="s">
        <v>353</v>
      </c>
      <c r="D19" s="69">
        <v>2</v>
      </c>
      <c r="E19" s="134">
        <v>12.72</v>
      </c>
      <c r="F19" s="135">
        <v>6.12</v>
      </c>
      <c r="G19" s="123">
        <v>101</v>
      </c>
      <c r="H19" s="117">
        <v>421</v>
      </c>
      <c r="I19" s="131">
        <v>7.44</v>
      </c>
      <c r="J19" s="69" t="s">
        <v>6</v>
      </c>
      <c r="K19" s="125"/>
      <c r="L19" s="20">
        <v>4</v>
      </c>
      <c r="M19" s="136"/>
      <c r="N19" s="69">
        <v>15</v>
      </c>
      <c r="O19" s="69" t="s">
        <v>201</v>
      </c>
      <c r="P19" s="14" t="s">
        <v>401</v>
      </c>
      <c r="Q19" s="69">
        <v>4</v>
      </c>
      <c r="R19" s="95">
        <v>25.5</v>
      </c>
      <c r="S19" s="131">
        <v>22.8</v>
      </c>
      <c r="T19" s="137">
        <v>113</v>
      </c>
      <c r="U19" s="127">
        <v>521</v>
      </c>
      <c r="V19" s="132">
        <v>12.05</v>
      </c>
      <c r="W19" s="69" t="s">
        <v>6</v>
      </c>
      <c r="X19" s="130" t="s">
        <v>270</v>
      </c>
      <c r="Y19" s="69">
        <v>7</v>
      </c>
      <c r="Z19" s="96"/>
      <c r="AA19" s="96"/>
      <c r="AB19" s="96"/>
      <c r="AC19" s="96"/>
      <c r="AD19" s="96"/>
      <c r="AE19" s="96"/>
      <c r="AF19" s="96"/>
      <c r="AG19" s="96"/>
      <c r="AH19" s="96"/>
    </row>
    <row r="20" spans="1:34" x14ac:dyDescent="0.25">
      <c r="A20" s="81">
        <v>16</v>
      </c>
      <c r="B20" s="69" t="s">
        <v>138</v>
      </c>
      <c r="C20" s="14" t="s">
        <v>342</v>
      </c>
      <c r="D20" s="69">
        <v>5</v>
      </c>
      <c r="E20" s="134">
        <v>10.93</v>
      </c>
      <c r="F20" s="130">
        <v>2.97</v>
      </c>
      <c r="G20" s="123">
        <v>100</v>
      </c>
      <c r="H20" s="117">
        <v>269</v>
      </c>
      <c r="I20" s="131">
        <v>30.97</v>
      </c>
      <c r="J20" s="69" t="s">
        <v>6</v>
      </c>
      <c r="K20" s="125"/>
      <c r="L20" s="20">
        <v>1</v>
      </c>
      <c r="M20" s="136"/>
      <c r="N20" s="69">
        <v>16</v>
      </c>
      <c r="O20" s="69" t="s">
        <v>202</v>
      </c>
      <c r="P20" s="14" t="s">
        <v>402</v>
      </c>
      <c r="Q20" s="69">
        <v>3</v>
      </c>
      <c r="R20" s="116">
        <v>5.75</v>
      </c>
      <c r="S20" s="131">
        <v>1.42</v>
      </c>
      <c r="T20" s="127">
        <v>112</v>
      </c>
      <c r="U20" s="127">
        <v>449</v>
      </c>
      <c r="V20" s="132">
        <v>0.39</v>
      </c>
      <c r="W20" s="69" t="s">
        <v>6</v>
      </c>
      <c r="X20" s="129"/>
      <c r="Y20" s="69">
        <v>1</v>
      </c>
      <c r="Z20" s="96"/>
      <c r="AA20" s="96"/>
      <c r="AB20" s="96"/>
      <c r="AC20" s="96"/>
      <c r="AD20" s="96"/>
      <c r="AE20" s="96"/>
      <c r="AF20" s="96"/>
      <c r="AG20" s="96"/>
      <c r="AH20" s="96"/>
    </row>
    <row r="21" spans="1:34" x14ac:dyDescent="0.25">
      <c r="A21" s="81">
        <v>17</v>
      </c>
      <c r="B21" s="69" t="s">
        <v>141</v>
      </c>
      <c r="C21" s="142" t="s">
        <v>354</v>
      </c>
      <c r="D21" s="69">
        <v>3</v>
      </c>
      <c r="E21" s="134">
        <v>13.19</v>
      </c>
      <c r="F21" s="135">
        <v>5.42</v>
      </c>
      <c r="G21" s="123">
        <v>124</v>
      </c>
      <c r="H21" s="117">
        <v>255</v>
      </c>
      <c r="I21" s="131">
        <v>81.010000000000005</v>
      </c>
      <c r="J21" s="69" t="s">
        <v>6</v>
      </c>
      <c r="K21" s="125" t="s">
        <v>6</v>
      </c>
      <c r="L21" s="20">
        <v>1</v>
      </c>
      <c r="M21" s="136"/>
      <c r="N21" s="69">
        <v>17</v>
      </c>
      <c r="O21" s="69" t="s">
        <v>203</v>
      </c>
      <c r="P21" s="14" t="s">
        <v>403</v>
      </c>
      <c r="Q21" s="69">
        <v>5</v>
      </c>
      <c r="R21" s="116">
        <v>11.38</v>
      </c>
      <c r="S21" s="124">
        <v>5.26</v>
      </c>
      <c r="T21" s="127">
        <v>107</v>
      </c>
      <c r="U21" s="127">
        <v>374</v>
      </c>
      <c r="V21" s="132">
        <v>10.4</v>
      </c>
      <c r="W21" s="81" t="s">
        <v>8</v>
      </c>
      <c r="X21" s="69" t="s">
        <v>6</v>
      </c>
      <c r="Y21" s="69">
        <v>7</v>
      </c>
      <c r="Z21" s="96"/>
      <c r="AA21" s="96"/>
      <c r="AB21" s="96"/>
      <c r="AC21" s="96"/>
      <c r="AD21" s="96"/>
      <c r="AE21" s="96"/>
      <c r="AF21" s="96"/>
      <c r="AG21" s="96"/>
      <c r="AH21" s="96"/>
    </row>
    <row r="22" spans="1:34" x14ac:dyDescent="0.25">
      <c r="A22" s="81">
        <v>18</v>
      </c>
      <c r="B22" s="69" t="s">
        <v>144</v>
      </c>
      <c r="C22" s="14" t="s">
        <v>355</v>
      </c>
      <c r="D22" s="20">
        <v>11</v>
      </c>
      <c r="E22" s="122">
        <v>4.99</v>
      </c>
      <c r="F22" s="130">
        <v>2.88</v>
      </c>
      <c r="G22" s="123">
        <v>107</v>
      </c>
      <c r="H22" s="117">
        <v>228</v>
      </c>
      <c r="I22" s="131">
        <v>114.04</v>
      </c>
      <c r="J22" s="69" t="s">
        <v>6</v>
      </c>
      <c r="K22" s="125" t="s">
        <v>6</v>
      </c>
      <c r="L22" s="20">
        <v>1</v>
      </c>
      <c r="M22" s="136"/>
      <c r="N22" s="69">
        <v>18</v>
      </c>
      <c r="O22" s="69" t="s">
        <v>204</v>
      </c>
      <c r="P22" s="145" t="s">
        <v>404</v>
      </c>
      <c r="Q22" s="69">
        <v>3</v>
      </c>
      <c r="R22" s="95">
        <v>16.850000000000001</v>
      </c>
      <c r="S22" s="124">
        <v>3.56</v>
      </c>
      <c r="T22" s="137">
        <v>98</v>
      </c>
      <c r="U22" s="137">
        <v>420</v>
      </c>
      <c r="V22" s="128">
        <v>2.81</v>
      </c>
      <c r="W22" s="69" t="s">
        <v>6</v>
      </c>
      <c r="X22" s="138" t="s">
        <v>268</v>
      </c>
      <c r="Y22" s="69">
        <v>1</v>
      </c>
      <c r="Z22" s="96"/>
      <c r="AA22" s="96"/>
      <c r="AB22" s="96"/>
      <c r="AC22" s="96"/>
      <c r="AD22" s="96"/>
      <c r="AE22" s="96"/>
      <c r="AF22" s="96"/>
      <c r="AG22" s="96"/>
      <c r="AH22" s="96"/>
    </row>
    <row r="23" spans="1:34" x14ac:dyDescent="0.25">
      <c r="A23" s="81">
        <v>19</v>
      </c>
      <c r="B23" s="69" t="s">
        <v>145</v>
      </c>
      <c r="C23" s="14" t="s">
        <v>356</v>
      </c>
      <c r="D23" s="20">
        <v>12</v>
      </c>
      <c r="E23" s="122">
        <v>8.74</v>
      </c>
      <c r="F23" s="130">
        <v>3.69</v>
      </c>
      <c r="G23" s="123">
        <v>111</v>
      </c>
      <c r="H23" s="123">
        <v>335</v>
      </c>
      <c r="I23" s="124">
        <v>55.78</v>
      </c>
      <c r="J23" s="69" t="s">
        <v>6</v>
      </c>
      <c r="K23" s="138"/>
      <c r="L23" s="20">
        <v>1</v>
      </c>
      <c r="M23" s="126"/>
      <c r="N23" s="69">
        <v>19</v>
      </c>
      <c r="O23" s="69" t="s">
        <v>205</v>
      </c>
      <c r="P23" s="145" t="s">
        <v>405</v>
      </c>
      <c r="Q23" s="138">
        <v>3</v>
      </c>
      <c r="R23" s="95">
        <v>10.88</v>
      </c>
      <c r="S23" s="124">
        <v>6.37</v>
      </c>
      <c r="T23" s="137">
        <v>112</v>
      </c>
      <c r="U23" s="137">
        <v>313</v>
      </c>
      <c r="V23" s="128">
        <v>7.1</v>
      </c>
      <c r="W23" s="81" t="s">
        <v>8</v>
      </c>
      <c r="X23" s="129"/>
      <c r="Y23" s="69">
        <v>1</v>
      </c>
      <c r="Z23" s="96"/>
      <c r="AA23" s="96"/>
      <c r="AB23" s="96"/>
      <c r="AC23" s="96"/>
      <c r="AD23" s="96"/>
      <c r="AE23" s="96"/>
      <c r="AF23" s="96"/>
      <c r="AG23" s="96"/>
      <c r="AH23" s="96"/>
    </row>
    <row r="24" spans="1:34" x14ac:dyDescent="0.25">
      <c r="A24" s="81">
        <v>20</v>
      </c>
      <c r="B24" s="69" t="s">
        <v>146</v>
      </c>
      <c r="C24" s="14" t="s">
        <v>357</v>
      </c>
      <c r="D24" s="20">
        <v>1</v>
      </c>
      <c r="E24" s="122">
        <v>7.88</v>
      </c>
      <c r="F24" s="130">
        <v>3.7</v>
      </c>
      <c r="G24" s="123">
        <v>113</v>
      </c>
      <c r="H24" s="123">
        <v>484</v>
      </c>
      <c r="I24" s="124">
        <v>4</v>
      </c>
      <c r="J24" s="69" t="s">
        <v>6</v>
      </c>
      <c r="K24" s="138"/>
      <c r="L24" s="20">
        <v>1</v>
      </c>
      <c r="M24" s="126"/>
      <c r="N24" s="69">
        <v>20</v>
      </c>
      <c r="O24" s="69" t="s">
        <v>206</v>
      </c>
      <c r="P24" s="145" t="s">
        <v>406</v>
      </c>
      <c r="Q24" s="69">
        <v>3</v>
      </c>
      <c r="R24" s="95">
        <v>6.24</v>
      </c>
      <c r="S24" s="124">
        <v>2.4700000000000002</v>
      </c>
      <c r="T24" s="137">
        <v>113</v>
      </c>
      <c r="U24" s="137">
        <v>419</v>
      </c>
      <c r="V24" s="128">
        <v>55.35</v>
      </c>
      <c r="W24" s="69" t="s">
        <v>5</v>
      </c>
      <c r="X24" s="138" t="s">
        <v>268</v>
      </c>
      <c r="Y24" s="69">
        <v>1</v>
      </c>
      <c r="Z24" s="96"/>
      <c r="AA24" s="96"/>
      <c r="AB24" s="96"/>
      <c r="AC24" s="96"/>
      <c r="AD24" s="96"/>
      <c r="AE24" s="96"/>
      <c r="AF24" s="96"/>
      <c r="AG24" s="96"/>
      <c r="AH24" s="96"/>
    </row>
    <row r="25" spans="1:34" x14ac:dyDescent="0.25">
      <c r="A25" s="81">
        <v>21</v>
      </c>
      <c r="B25" s="69" t="s">
        <v>147</v>
      </c>
      <c r="C25" s="14" t="s">
        <v>358</v>
      </c>
      <c r="D25" s="69">
        <v>2</v>
      </c>
      <c r="E25" s="122">
        <v>6.39</v>
      </c>
      <c r="F25" s="130">
        <v>2.88</v>
      </c>
      <c r="G25" s="123">
        <v>99</v>
      </c>
      <c r="H25" s="123">
        <v>378</v>
      </c>
      <c r="I25" s="124">
        <v>13.95</v>
      </c>
      <c r="J25" s="69" t="s">
        <v>6</v>
      </c>
      <c r="K25" s="138" t="s">
        <v>784</v>
      </c>
      <c r="L25" s="20">
        <v>1</v>
      </c>
      <c r="M25" s="126"/>
      <c r="N25" s="69">
        <v>21</v>
      </c>
      <c r="O25" s="69" t="s">
        <v>207</v>
      </c>
      <c r="P25" s="145" t="s">
        <v>407</v>
      </c>
      <c r="Q25" s="69">
        <v>18</v>
      </c>
      <c r="R25" s="116">
        <v>14.38</v>
      </c>
      <c r="S25" s="124">
        <v>9.85</v>
      </c>
      <c r="T25" s="137">
        <v>115</v>
      </c>
      <c r="U25" s="127">
        <v>382</v>
      </c>
      <c r="V25" s="132">
        <v>177.78</v>
      </c>
      <c r="W25" s="69" t="s">
        <v>6</v>
      </c>
      <c r="X25" s="138" t="s">
        <v>6</v>
      </c>
      <c r="Y25" s="69">
        <v>1</v>
      </c>
      <c r="Z25" s="96"/>
      <c r="AA25" s="96"/>
      <c r="AB25" s="96"/>
      <c r="AC25" s="96"/>
      <c r="AD25" s="96"/>
      <c r="AE25" s="96"/>
      <c r="AF25" s="96"/>
      <c r="AG25" s="96"/>
      <c r="AH25" s="96"/>
    </row>
    <row r="26" spans="1:34" x14ac:dyDescent="0.25">
      <c r="A26" s="81">
        <v>22</v>
      </c>
      <c r="B26" s="69" t="s">
        <v>148</v>
      </c>
      <c r="C26" s="14" t="s">
        <v>359</v>
      </c>
      <c r="D26" s="69">
        <v>3</v>
      </c>
      <c r="E26" s="134">
        <v>9.93</v>
      </c>
      <c r="F26" s="130">
        <v>5.51</v>
      </c>
      <c r="G26" s="123">
        <v>114</v>
      </c>
      <c r="H26" s="117">
        <v>297</v>
      </c>
      <c r="I26" s="124">
        <v>9.11</v>
      </c>
      <c r="J26" s="81" t="s">
        <v>8</v>
      </c>
      <c r="K26" s="125" t="s">
        <v>6</v>
      </c>
      <c r="L26" s="20">
        <v>4</v>
      </c>
      <c r="M26" s="126"/>
      <c r="N26" s="69">
        <v>22</v>
      </c>
      <c r="O26" s="69" t="s">
        <v>208</v>
      </c>
      <c r="P26" s="145" t="s">
        <v>408</v>
      </c>
      <c r="Q26" s="69">
        <v>4</v>
      </c>
      <c r="R26" s="116">
        <v>8.89</v>
      </c>
      <c r="S26" s="124">
        <v>1.36</v>
      </c>
      <c r="T26" s="137">
        <v>110</v>
      </c>
      <c r="U26" s="127">
        <v>529</v>
      </c>
      <c r="V26" s="132">
        <v>75.150000000000006</v>
      </c>
      <c r="W26" s="69" t="s">
        <v>6</v>
      </c>
      <c r="X26" s="130" t="s">
        <v>6</v>
      </c>
      <c r="Y26" s="69">
        <v>1</v>
      </c>
      <c r="Z26" s="96"/>
      <c r="AA26" s="96"/>
      <c r="AB26" s="96"/>
      <c r="AC26" s="96"/>
      <c r="AD26" s="96"/>
      <c r="AE26" s="96"/>
      <c r="AF26" s="96"/>
      <c r="AG26" s="96"/>
      <c r="AH26" s="96"/>
    </row>
    <row r="27" spans="1:34" x14ac:dyDescent="0.25">
      <c r="A27" s="81">
        <v>23</v>
      </c>
      <c r="B27" s="69" t="s">
        <v>149</v>
      </c>
      <c r="C27" s="14" t="s">
        <v>340</v>
      </c>
      <c r="D27" s="69">
        <v>12</v>
      </c>
      <c r="E27" s="122">
        <v>12.03</v>
      </c>
      <c r="F27" s="130">
        <v>7.05</v>
      </c>
      <c r="G27" s="123">
        <v>120</v>
      </c>
      <c r="H27" s="123">
        <v>347</v>
      </c>
      <c r="I27" s="139">
        <v>4</v>
      </c>
      <c r="J27" s="81" t="s">
        <v>8</v>
      </c>
      <c r="K27" s="125" t="s">
        <v>6</v>
      </c>
      <c r="L27" s="20">
        <v>1</v>
      </c>
      <c r="M27" s="126"/>
      <c r="N27" s="69">
        <v>23</v>
      </c>
      <c r="O27" s="69" t="s">
        <v>209</v>
      </c>
      <c r="P27" s="145" t="s">
        <v>409</v>
      </c>
      <c r="Q27" s="69">
        <v>4</v>
      </c>
      <c r="R27" s="95">
        <v>7.53</v>
      </c>
      <c r="S27" s="124">
        <v>2.2799999999999998</v>
      </c>
      <c r="T27" s="137">
        <v>98</v>
      </c>
      <c r="U27" s="137">
        <v>575</v>
      </c>
      <c r="V27" s="128">
        <v>95</v>
      </c>
      <c r="W27" s="69" t="s">
        <v>6</v>
      </c>
      <c r="X27" s="138" t="s">
        <v>6</v>
      </c>
      <c r="Y27" s="69">
        <v>1</v>
      </c>
      <c r="Z27" s="96"/>
      <c r="AA27" s="96"/>
      <c r="AB27" s="96"/>
      <c r="AC27" s="96"/>
      <c r="AD27" s="96"/>
      <c r="AE27" s="96"/>
      <c r="AF27" s="96"/>
      <c r="AG27" s="96"/>
      <c r="AH27" s="96"/>
    </row>
    <row r="28" spans="1:34" ht="17" customHeight="1" x14ac:dyDescent="0.25">
      <c r="A28" s="81">
        <v>24</v>
      </c>
      <c r="B28" s="69" t="s">
        <v>150</v>
      </c>
      <c r="C28" s="14" t="s">
        <v>360</v>
      </c>
      <c r="D28" s="69">
        <v>6</v>
      </c>
      <c r="E28" s="134">
        <v>16.059999999999999</v>
      </c>
      <c r="F28" s="130">
        <v>6.76</v>
      </c>
      <c r="G28" s="123">
        <v>115</v>
      </c>
      <c r="H28" s="117">
        <v>400</v>
      </c>
      <c r="I28" s="141">
        <v>9.4499999999999993</v>
      </c>
      <c r="J28" s="69" t="s">
        <v>6</v>
      </c>
      <c r="K28" s="125"/>
      <c r="L28" s="20">
        <v>1</v>
      </c>
      <c r="M28" s="136"/>
      <c r="N28" s="69">
        <v>24</v>
      </c>
      <c r="O28" s="69" t="s">
        <v>210</v>
      </c>
      <c r="P28" s="145" t="s">
        <v>410</v>
      </c>
      <c r="Q28" s="69">
        <v>2</v>
      </c>
      <c r="R28" s="95">
        <v>17.61</v>
      </c>
      <c r="S28" s="124">
        <v>4.68</v>
      </c>
      <c r="T28" s="137">
        <v>104</v>
      </c>
      <c r="U28" s="137">
        <v>474</v>
      </c>
      <c r="V28" s="128">
        <v>65.73</v>
      </c>
      <c r="W28" s="69" t="s">
        <v>6</v>
      </c>
      <c r="X28" s="138" t="s">
        <v>6</v>
      </c>
      <c r="Y28" s="69">
        <v>1</v>
      </c>
      <c r="Z28" s="96"/>
      <c r="AA28" s="96"/>
      <c r="AB28" s="96"/>
      <c r="AC28" s="96"/>
      <c r="AD28" s="96"/>
      <c r="AE28" s="96"/>
      <c r="AF28" s="96"/>
      <c r="AG28" s="96"/>
      <c r="AH28" s="96"/>
    </row>
    <row r="29" spans="1:34" ht="17" customHeight="1" x14ac:dyDescent="0.25">
      <c r="A29" s="81">
        <v>25</v>
      </c>
      <c r="B29" s="69" t="s">
        <v>168</v>
      </c>
      <c r="C29" s="146" t="s">
        <v>361</v>
      </c>
      <c r="D29" s="20">
        <v>9</v>
      </c>
      <c r="E29" s="134">
        <v>18.52</v>
      </c>
      <c r="F29" s="20">
        <v>9.06</v>
      </c>
      <c r="G29" s="123">
        <v>117</v>
      </c>
      <c r="H29" s="117">
        <v>409</v>
      </c>
      <c r="I29" s="141">
        <v>64.38</v>
      </c>
      <c r="J29" s="69" t="s">
        <v>6</v>
      </c>
      <c r="K29" s="81"/>
      <c r="L29" s="20">
        <v>1</v>
      </c>
      <c r="M29" s="136"/>
      <c r="N29" s="69">
        <v>25</v>
      </c>
      <c r="O29" s="69" t="s">
        <v>211</v>
      </c>
      <c r="P29" s="145" t="s">
        <v>411</v>
      </c>
      <c r="Q29" s="69">
        <v>1</v>
      </c>
      <c r="R29" s="95">
        <v>11.66</v>
      </c>
      <c r="S29" s="124">
        <v>2.42</v>
      </c>
      <c r="T29" s="137">
        <v>103</v>
      </c>
      <c r="U29" s="137">
        <v>499</v>
      </c>
      <c r="V29" s="128">
        <v>4.09</v>
      </c>
      <c r="W29" s="69" t="s">
        <v>6</v>
      </c>
      <c r="X29" s="138" t="s">
        <v>270</v>
      </c>
      <c r="Y29" s="69">
        <v>1</v>
      </c>
      <c r="Z29" s="96"/>
      <c r="AA29" s="96"/>
      <c r="AB29" s="96"/>
      <c r="AC29" s="96"/>
      <c r="AD29" s="96"/>
      <c r="AE29" s="96"/>
      <c r="AF29" s="96"/>
      <c r="AG29" s="96"/>
      <c r="AH29" s="96"/>
    </row>
    <row r="30" spans="1:34" x14ac:dyDescent="0.25">
      <c r="A30" s="81">
        <v>26</v>
      </c>
      <c r="B30" s="69" t="s">
        <v>151</v>
      </c>
      <c r="C30" s="14" t="s">
        <v>362</v>
      </c>
      <c r="D30" s="69">
        <v>17</v>
      </c>
      <c r="E30" s="134">
        <v>15.23</v>
      </c>
      <c r="F30" s="130">
        <v>6.79</v>
      </c>
      <c r="G30" s="123">
        <v>101</v>
      </c>
      <c r="H30" s="117">
        <v>382</v>
      </c>
      <c r="I30" s="141">
        <v>108.1</v>
      </c>
      <c r="J30" s="69" t="s">
        <v>6</v>
      </c>
      <c r="K30" s="81"/>
      <c r="L30" s="20">
        <v>10</v>
      </c>
      <c r="M30" s="136"/>
      <c r="N30" s="69">
        <v>26</v>
      </c>
      <c r="O30" s="69" t="s">
        <v>212</v>
      </c>
      <c r="P30" s="145" t="s">
        <v>412</v>
      </c>
      <c r="Q30" s="69">
        <v>9</v>
      </c>
      <c r="R30" s="95">
        <v>13.21</v>
      </c>
      <c r="S30" s="124">
        <v>5.7</v>
      </c>
      <c r="T30" s="137">
        <v>116</v>
      </c>
      <c r="U30" s="137">
        <v>273</v>
      </c>
      <c r="V30" s="128">
        <v>12.73</v>
      </c>
      <c r="W30" s="69" t="s">
        <v>6</v>
      </c>
      <c r="X30" s="129"/>
      <c r="Y30" s="69">
        <v>1</v>
      </c>
      <c r="Z30" s="96"/>
      <c r="AA30" s="96"/>
      <c r="AB30" s="96"/>
      <c r="AC30" s="96"/>
      <c r="AD30" s="96"/>
      <c r="AE30" s="96"/>
      <c r="AF30" s="96"/>
      <c r="AG30" s="96"/>
      <c r="AH30" s="96"/>
    </row>
    <row r="31" spans="1:34" x14ac:dyDescent="0.25">
      <c r="A31" s="81">
        <v>27</v>
      </c>
      <c r="B31" s="69" t="s">
        <v>152</v>
      </c>
      <c r="C31" s="147" t="s">
        <v>363</v>
      </c>
      <c r="D31" s="69">
        <v>5</v>
      </c>
      <c r="E31" s="116">
        <v>13.64</v>
      </c>
      <c r="F31" s="20">
        <v>6.04</v>
      </c>
      <c r="G31" s="123">
        <v>123</v>
      </c>
      <c r="H31" s="117">
        <v>368</v>
      </c>
      <c r="I31" s="141">
        <v>58.37</v>
      </c>
      <c r="J31" s="69" t="s">
        <v>6</v>
      </c>
      <c r="K31" s="81"/>
      <c r="L31" s="20">
        <v>1</v>
      </c>
      <c r="M31" s="136"/>
      <c r="N31" s="69">
        <v>27</v>
      </c>
      <c r="O31" s="69" t="s">
        <v>213</v>
      </c>
      <c r="P31" s="145" t="s">
        <v>413</v>
      </c>
      <c r="Q31" s="69">
        <v>1</v>
      </c>
      <c r="R31" s="95">
        <v>5.69</v>
      </c>
      <c r="S31" s="124">
        <v>1.53</v>
      </c>
      <c r="T31" s="137">
        <v>106</v>
      </c>
      <c r="U31" s="137">
        <v>410</v>
      </c>
      <c r="V31" s="128">
        <v>41.06</v>
      </c>
      <c r="W31" s="69" t="s">
        <v>6</v>
      </c>
      <c r="X31" s="129"/>
      <c r="Y31" s="69">
        <v>1</v>
      </c>
      <c r="Z31" s="96"/>
      <c r="AA31" s="96"/>
      <c r="AB31" s="96"/>
      <c r="AC31" s="96"/>
      <c r="AD31" s="96"/>
      <c r="AE31" s="96"/>
      <c r="AF31" s="96"/>
      <c r="AG31" s="96"/>
      <c r="AH31" s="96"/>
    </row>
    <row r="32" spans="1:34" x14ac:dyDescent="0.25">
      <c r="A32" s="81">
        <v>28</v>
      </c>
      <c r="B32" s="69" t="s">
        <v>153</v>
      </c>
      <c r="C32" s="14" t="s">
        <v>364</v>
      </c>
      <c r="D32" s="69">
        <v>4</v>
      </c>
      <c r="E32" s="134">
        <v>17.329999999999998</v>
      </c>
      <c r="F32" s="130">
        <v>5.09</v>
      </c>
      <c r="G32" s="123">
        <v>100</v>
      </c>
      <c r="H32" s="117">
        <v>442</v>
      </c>
      <c r="I32" s="141">
        <v>9.4700000000000006</v>
      </c>
      <c r="J32" s="69" t="s">
        <v>6</v>
      </c>
      <c r="K32" s="125"/>
      <c r="L32" s="20">
        <v>1</v>
      </c>
      <c r="M32" s="136"/>
      <c r="N32" s="69">
        <v>28</v>
      </c>
      <c r="O32" s="69" t="s">
        <v>214</v>
      </c>
      <c r="P32" s="145" t="s">
        <v>414</v>
      </c>
      <c r="Q32" s="69">
        <v>3</v>
      </c>
      <c r="R32" s="95">
        <v>14.62</v>
      </c>
      <c r="S32" s="124">
        <v>6.35</v>
      </c>
      <c r="T32" s="137">
        <v>107</v>
      </c>
      <c r="U32" s="137">
        <v>333</v>
      </c>
      <c r="V32" s="128">
        <v>24.42</v>
      </c>
      <c r="W32" s="81" t="s">
        <v>8</v>
      </c>
      <c r="X32" s="138" t="s">
        <v>6</v>
      </c>
      <c r="Y32" s="69">
        <v>1</v>
      </c>
      <c r="Z32" s="96"/>
      <c r="AA32" s="96"/>
      <c r="AB32" s="96"/>
      <c r="AC32" s="96"/>
      <c r="AD32" s="96"/>
      <c r="AE32" s="96"/>
      <c r="AF32" s="96"/>
      <c r="AG32" s="96"/>
      <c r="AH32" s="96"/>
    </row>
    <row r="33" spans="1:34" x14ac:dyDescent="0.25">
      <c r="A33" s="81">
        <v>29</v>
      </c>
      <c r="B33" s="69" t="s">
        <v>154</v>
      </c>
      <c r="C33" s="14" t="s">
        <v>365</v>
      </c>
      <c r="D33" s="69">
        <v>2</v>
      </c>
      <c r="E33" s="122">
        <v>8.59</v>
      </c>
      <c r="F33" s="130">
        <v>5.0999999999999996</v>
      </c>
      <c r="G33" s="123">
        <v>89</v>
      </c>
      <c r="H33" s="123">
        <v>403</v>
      </c>
      <c r="I33" s="139">
        <v>71.33</v>
      </c>
      <c r="J33" s="69" t="s">
        <v>6</v>
      </c>
      <c r="K33" s="125" t="s">
        <v>6</v>
      </c>
      <c r="L33" s="20">
        <v>1</v>
      </c>
      <c r="M33" s="126"/>
      <c r="N33" s="69">
        <v>29</v>
      </c>
      <c r="O33" s="69" t="s">
        <v>215</v>
      </c>
      <c r="P33" s="145" t="s">
        <v>415</v>
      </c>
      <c r="Q33" s="69">
        <f>8+12</f>
        <v>20</v>
      </c>
      <c r="R33" s="95">
        <v>15.16</v>
      </c>
      <c r="S33" s="124">
        <v>9.93</v>
      </c>
      <c r="T33" s="137">
        <v>124</v>
      </c>
      <c r="U33" s="137">
        <v>329</v>
      </c>
      <c r="V33" s="128">
        <v>25.21</v>
      </c>
      <c r="W33" s="81" t="s">
        <v>8</v>
      </c>
      <c r="X33" s="138" t="s">
        <v>6</v>
      </c>
      <c r="Y33" s="69">
        <v>1</v>
      </c>
      <c r="Z33" s="96"/>
      <c r="AA33" s="96"/>
      <c r="AB33" s="96"/>
      <c r="AC33" s="96"/>
      <c r="AD33" s="96"/>
      <c r="AE33" s="96"/>
      <c r="AF33" s="96"/>
      <c r="AG33" s="96"/>
      <c r="AH33" s="96"/>
    </row>
    <row r="34" spans="1:34" x14ac:dyDescent="0.25">
      <c r="A34" s="81">
        <v>30</v>
      </c>
      <c r="B34" s="69" t="s">
        <v>155</v>
      </c>
      <c r="C34" s="14" t="s">
        <v>366</v>
      </c>
      <c r="D34" s="69">
        <v>4</v>
      </c>
      <c r="E34" s="122">
        <v>10.029999999999999</v>
      </c>
      <c r="F34" s="130">
        <v>3.9</v>
      </c>
      <c r="G34" s="123">
        <v>104</v>
      </c>
      <c r="H34" s="123">
        <v>693</v>
      </c>
      <c r="I34" s="139">
        <v>14.62</v>
      </c>
      <c r="J34" s="69" t="s">
        <v>6</v>
      </c>
      <c r="K34" s="138" t="s">
        <v>784</v>
      </c>
      <c r="L34" s="20">
        <v>1</v>
      </c>
      <c r="M34" s="126"/>
      <c r="N34" s="69">
        <v>30</v>
      </c>
      <c r="O34" s="69" t="s">
        <v>216</v>
      </c>
      <c r="P34" s="145" t="s">
        <v>416</v>
      </c>
      <c r="Q34" s="20">
        <v>3</v>
      </c>
      <c r="R34" s="95">
        <v>25.09</v>
      </c>
      <c r="S34" s="139">
        <v>7.06</v>
      </c>
      <c r="T34" s="123">
        <v>116</v>
      </c>
      <c r="U34" s="123">
        <v>570</v>
      </c>
      <c r="V34" s="144">
        <v>64.260000000000005</v>
      </c>
      <c r="W34" s="69" t="s">
        <v>6</v>
      </c>
      <c r="X34" s="20" t="s">
        <v>6</v>
      </c>
      <c r="Y34" s="69">
        <v>1</v>
      </c>
      <c r="Z34" s="96"/>
      <c r="AA34" s="96"/>
      <c r="AB34" s="96"/>
      <c r="AC34" s="96"/>
      <c r="AD34" s="96"/>
      <c r="AE34" s="96"/>
      <c r="AF34" s="96"/>
      <c r="AG34" s="96"/>
      <c r="AH34" s="96"/>
    </row>
    <row r="35" spans="1:34" x14ac:dyDescent="0.25">
      <c r="A35" s="81">
        <v>31</v>
      </c>
      <c r="B35" s="69" t="s">
        <v>156</v>
      </c>
      <c r="C35" s="14" t="s">
        <v>367</v>
      </c>
      <c r="D35" s="69">
        <v>6</v>
      </c>
      <c r="E35" s="134">
        <v>20.56</v>
      </c>
      <c r="F35" s="130">
        <v>11.33</v>
      </c>
      <c r="G35" s="123">
        <v>117</v>
      </c>
      <c r="H35" s="117">
        <v>405</v>
      </c>
      <c r="I35" s="131">
        <v>56.41</v>
      </c>
      <c r="J35" s="69" t="s">
        <v>6</v>
      </c>
      <c r="K35" s="125" t="s">
        <v>6</v>
      </c>
      <c r="L35" s="20">
        <v>1</v>
      </c>
      <c r="M35" s="136"/>
      <c r="N35" s="69">
        <v>31</v>
      </c>
      <c r="O35" s="69" t="s">
        <v>217</v>
      </c>
      <c r="P35" s="145" t="s">
        <v>417</v>
      </c>
      <c r="Q35" s="20">
        <v>12</v>
      </c>
      <c r="R35" s="95">
        <v>12.52</v>
      </c>
      <c r="S35" s="139">
        <v>2.73</v>
      </c>
      <c r="T35" s="123">
        <v>105</v>
      </c>
      <c r="U35" s="123">
        <v>321</v>
      </c>
      <c r="V35" s="144">
        <v>33.549999999999997</v>
      </c>
      <c r="W35" s="81" t="s">
        <v>8</v>
      </c>
      <c r="X35" s="81" t="s">
        <v>8</v>
      </c>
      <c r="Y35" s="69">
        <v>1</v>
      </c>
      <c r="Z35" s="96"/>
      <c r="AA35" s="96"/>
      <c r="AB35" s="96"/>
      <c r="AC35" s="96"/>
      <c r="AD35" s="96"/>
      <c r="AE35" s="96"/>
      <c r="AF35" s="96"/>
      <c r="AG35" s="96"/>
      <c r="AH35" s="96"/>
    </row>
    <row r="36" spans="1:34" x14ac:dyDescent="0.25">
      <c r="A36" s="81">
        <v>32</v>
      </c>
      <c r="B36" s="69" t="s">
        <v>157</v>
      </c>
      <c r="C36" s="14" t="s">
        <v>368</v>
      </c>
      <c r="D36" s="69">
        <v>5</v>
      </c>
      <c r="E36" s="134">
        <v>17.78</v>
      </c>
      <c r="F36" s="130">
        <v>11.9</v>
      </c>
      <c r="G36" s="123">
        <v>100</v>
      </c>
      <c r="H36" s="117">
        <v>313</v>
      </c>
      <c r="I36" s="131">
        <v>5.42</v>
      </c>
      <c r="J36" s="69" t="s">
        <v>6</v>
      </c>
      <c r="K36" s="125" t="s">
        <v>6</v>
      </c>
      <c r="L36" s="20">
        <v>1</v>
      </c>
      <c r="M36" s="136"/>
      <c r="N36" s="69">
        <v>32</v>
      </c>
      <c r="O36" s="69" t="s">
        <v>218</v>
      </c>
      <c r="P36" s="145" t="s">
        <v>418</v>
      </c>
      <c r="Q36" s="20">
        <v>9</v>
      </c>
      <c r="R36" s="95">
        <v>11.16</v>
      </c>
      <c r="S36" s="139">
        <v>6.82</v>
      </c>
      <c r="T36" s="123">
        <v>111</v>
      </c>
      <c r="U36" s="123">
        <v>687</v>
      </c>
      <c r="V36" s="144">
        <v>10.01</v>
      </c>
      <c r="W36" s="69" t="s">
        <v>6</v>
      </c>
      <c r="X36" s="20" t="s">
        <v>6</v>
      </c>
      <c r="Y36" s="69">
        <v>1</v>
      </c>
      <c r="Z36" s="96"/>
      <c r="AA36" s="96"/>
      <c r="AB36" s="96"/>
      <c r="AC36" s="96"/>
      <c r="AD36" s="96"/>
      <c r="AE36" s="96"/>
      <c r="AF36" s="96"/>
      <c r="AG36" s="96"/>
      <c r="AH36" s="96"/>
    </row>
    <row r="37" spans="1:34" x14ac:dyDescent="0.25">
      <c r="A37" s="81">
        <v>33</v>
      </c>
      <c r="B37" s="69" t="s">
        <v>158</v>
      </c>
      <c r="C37" s="14" t="s">
        <v>369</v>
      </c>
      <c r="D37" s="20">
        <v>1</v>
      </c>
      <c r="E37" s="95">
        <v>7.67</v>
      </c>
      <c r="F37" s="20">
        <v>1.55</v>
      </c>
      <c r="G37" s="123">
        <v>125</v>
      </c>
      <c r="H37" s="123">
        <v>372</v>
      </c>
      <c r="I37" s="139">
        <v>0.19</v>
      </c>
      <c r="J37" s="69" t="s">
        <v>159</v>
      </c>
      <c r="K37" s="20" t="s">
        <v>270</v>
      </c>
      <c r="L37" s="20">
        <v>0</v>
      </c>
      <c r="M37" s="126"/>
      <c r="N37" s="69">
        <v>33</v>
      </c>
      <c r="O37" s="69" t="s">
        <v>219</v>
      </c>
      <c r="P37" s="145" t="s">
        <v>419</v>
      </c>
      <c r="Q37" s="20">
        <v>2</v>
      </c>
      <c r="R37" s="95">
        <v>9.5500000000000007</v>
      </c>
      <c r="S37" s="139">
        <v>3.46</v>
      </c>
      <c r="T37" s="123">
        <v>102</v>
      </c>
      <c r="U37" s="123">
        <v>781</v>
      </c>
      <c r="V37" s="144">
        <v>8.48</v>
      </c>
      <c r="W37" s="81" t="s">
        <v>8</v>
      </c>
      <c r="X37" s="20" t="s">
        <v>271</v>
      </c>
      <c r="Y37" s="69">
        <v>0</v>
      </c>
      <c r="Z37" s="96"/>
      <c r="AA37" s="96"/>
      <c r="AB37" s="96"/>
      <c r="AC37" s="96"/>
      <c r="AD37" s="96"/>
      <c r="AE37" s="96"/>
      <c r="AF37" s="96"/>
      <c r="AG37" s="96"/>
      <c r="AH37" s="96"/>
    </row>
    <row r="38" spans="1:34" x14ac:dyDescent="0.25">
      <c r="A38" s="81">
        <v>34</v>
      </c>
      <c r="B38" s="69" t="s">
        <v>175</v>
      </c>
      <c r="C38" s="145" t="s">
        <v>370</v>
      </c>
      <c r="D38" s="20">
        <v>7</v>
      </c>
      <c r="E38" s="95">
        <v>25</v>
      </c>
      <c r="F38" s="20">
        <v>12.8</v>
      </c>
      <c r="G38" s="123">
        <v>100</v>
      </c>
      <c r="H38" s="123">
        <v>476</v>
      </c>
      <c r="I38" s="139">
        <v>126.97</v>
      </c>
      <c r="J38" s="81" t="s">
        <v>8</v>
      </c>
      <c r="K38" s="20"/>
      <c r="L38" s="20">
        <v>1</v>
      </c>
      <c r="M38" s="126"/>
      <c r="N38" s="69">
        <v>34</v>
      </c>
      <c r="O38" s="69" t="s">
        <v>220</v>
      </c>
      <c r="P38" s="145" t="s">
        <v>420</v>
      </c>
      <c r="Q38" s="20">
        <v>17</v>
      </c>
      <c r="R38" s="95">
        <v>11.02</v>
      </c>
      <c r="S38" s="139">
        <v>4.8600000000000003</v>
      </c>
      <c r="T38" s="123">
        <v>107</v>
      </c>
      <c r="U38" s="123">
        <v>339</v>
      </c>
      <c r="V38" s="144">
        <v>12.45</v>
      </c>
      <c r="W38" s="81" t="s">
        <v>8</v>
      </c>
      <c r="X38" s="81"/>
      <c r="Y38" s="69">
        <v>4</v>
      </c>
      <c r="Z38" s="96"/>
      <c r="AA38" s="96"/>
      <c r="AB38" s="96"/>
      <c r="AC38" s="96"/>
      <c r="AD38" s="96"/>
      <c r="AE38" s="96"/>
      <c r="AF38" s="96"/>
      <c r="AG38" s="96"/>
      <c r="AH38" s="96"/>
    </row>
    <row r="39" spans="1:34" x14ac:dyDescent="0.25">
      <c r="A39" s="81">
        <v>35</v>
      </c>
      <c r="B39" s="69" t="s">
        <v>160</v>
      </c>
      <c r="C39" s="14" t="s">
        <v>371</v>
      </c>
      <c r="D39" s="20">
        <v>7</v>
      </c>
      <c r="E39" s="95">
        <v>13.33</v>
      </c>
      <c r="F39" s="20">
        <v>5.47</v>
      </c>
      <c r="G39" s="123">
        <v>123</v>
      </c>
      <c r="H39" s="123">
        <v>354</v>
      </c>
      <c r="I39" s="139">
        <v>8.6999999999999993</v>
      </c>
      <c r="J39" s="81" t="s">
        <v>299</v>
      </c>
      <c r="K39" s="20" t="s">
        <v>5</v>
      </c>
      <c r="L39" s="20">
        <v>1</v>
      </c>
      <c r="M39" s="126"/>
      <c r="N39" s="69">
        <v>35</v>
      </c>
      <c r="O39" s="69" t="s">
        <v>221</v>
      </c>
      <c r="P39" s="145" t="s">
        <v>421</v>
      </c>
      <c r="Q39" s="20">
        <v>7</v>
      </c>
      <c r="R39" s="95">
        <v>14.8</v>
      </c>
      <c r="S39" s="139">
        <v>8.4</v>
      </c>
      <c r="T39" s="123">
        <v>125</v>
      </c>
      <c r="U39" s="123">
        <v>358</v>
      </c>
      <c r="V39" s="144">
        <v>10.199999999999999</v>
      </c>
      <c r="W39" s="69" t="s">
        <v>6</v>
      </c>
      <c r="X39" s="20" t="s">
        <v>6</v>
      </c>
      <c r="Y39" s="69">
        <v>1</v>
      </c>
      <c r="Z39" s="96"/>
      <c r="AA39" s="96"/>
      <c r="AB39" s="96"/>
      <c r="AC39" s="96"/>
      <c r="AD39" s="96"/>
      <c r="AE39" s="96"/>
      <c r="AF39" s="96"/>
      <c r="AG39" s="96"/>
      <c r="AH39" s="96"/>
    </row>
    <row r="40" spans="1:34" x14ac:dyDescent="0.25">
      <c r="A40" s="81">
        <v>36</v>
      </c>
      <c r="B40" s="69" t="s">
        <v>161</v>
      </c>
      <c r="C40" s="14" t="s">
        <v>372</v>
      </c>
      <c r="D40" s="20">
        <v>5</v>
      </c>
      <c r="E40" s="95">
        <v>14.06</v>
      </c>
      <c r="F40" s="20">
        <v>5.76</v>
      </c>
      <c r="G40" s="123">
        <v>102</v>
      </c>
      <c r="H40" s="123">
        <v>520</v>
      </c>
      <c r="I40" s="139">
        <v>13.85</v>
      </c>
      <c r="J40" s="81" t="s">
        <v>266</v>
      </c>
      <c r="K40" s="20" t="s">
        <v>6</v>
      </c>
      <c r="L40" s="20">
        <v>1</v>
      </c>
      <c r="M40" s="126"/>
      <c r="N40" s="69">
        <v>36</v>
      </c>
      <c r="O40" s="69" t="s">
        <v>222</v>
      </c>
      <c r="P40" s="14" t="s">
        <v>422</v>
      </c>
      <c r="Q40" s="130">
        <v>2</v>
      </c>
      <c r="R40" s="95">
        <v>21.99</v>
      </c>
      <c r="S40" s="139">
        <v>2.97</v>
      </c>
      <c r="T40" s="123">
        <v>118</v>
      </c>
      <c r="U40" s="123">
        <v>457</v>
      </c>
      <c r="V40" s="144">
        <v>11.45</v>
      </c>
      <c r="W40" s="69" t="s">
        <v>5</v>
      </c>
      <c r="X40" s="20" t="s">
        <v>5</v>
      </c>
      <c r="Y40" s="69">
        <v>1</v>
      </c>
      <c r="Z40" s="96"/>
      <c r="AA40" s="96"/>
      <c r="AB40" s="96"/>
      <c r="AC40" s="96"/>
      <c r="AD40" s="96"/>
      <c r="AE40" s="96"/>
      <c r="AF40" s="96"/>
      <c r="AG40" s="96"/>
      <c r="AH40" s="96"/>
    </row>
    <row r="41" spans="1:34" x14ac:dyDescent="0.25">
      <c r="A41" s="81">
        <v>37</v>
      </c>
      <c r="B41" s="69" t="s">
        <v>162</v>
      </c>
      <c r="C41" s="14" t="s">
        <v>373</v>
      </c>
      <c r="D41" s="20">
        <v>13</v>
      </c>
      <c r="E41" s="95">
        <v>7.37</v>
      </c>
      <c r="F41" s="20">
        <v>1.34</v>
      </c>
      <c r="G41" s="123">
        <v>124</v>
      </c>
      <c r="H41" s="123">
        <v>256</v>
      </c>
      <c r="I41" s="139">
        <v>6.84</v>
      </c>
      <c r="J41" s="69" t="s">
        <v>5</v>
      </c>
      <c r="K41" s="20" t="s">
        <v>5</v>
      </c>
      <c r="L41" s="20">
        <v>1</v>
      </c>
      <c r="M41" s="126"/>
      <c r="N41" s="69">
        <v>37</v>
      </c>
      <c r="O41" s="69" t="s">
        <v>223</v>
      </c>
      <c r="P41" s="14" t="s">
        <v>423</v>
      </c>
      <c r="Q41" s="20">
        <v>5</v>
      </c>
      <c r="R41" s="95">
        <v>9.69</v>
      </c>
      <c r="S41" s="139">
        <v>3.72</v>
      </c>
      <c r="T41" s="123">
        <v>112</v>
      </c>
      <c r="U41" s="123">
        <v>454</v>
      </c>
      <c r="V41" s="144">
        <v>4.2699999999999996</v>
      </c>
      <c r="W41" s="69" t="s">
        <v>5</v>
      </c>
      <c r="X41" s="20" t="s">
        <v>5</v>
      </c>
      <c r="Y41" s="69">
        <v>1</v>
      </c>
      <c r="Z41" s="96"/>
      <c r="AA41" s="96"/>
      <c r="AB41" s="96"/>
      <c r="AC41" s="96"/>
      <c r="AD41" s="96"/>
      <c r="AE41" s="96"/>
      <c r="AF41" s="96"/>
      <c r="AG41" s="96"/>
      <c r="AH41" s="96"/>
    </row>
    <row r="42" spans="1:34" x14ac:dyDescent="0.25">
      <c r="A42" s="81">
        <v>38</v>
      </c>
      <c r="B42" s="69" t="s">
        <v>163</v>
      </c>
      <c r="C42" s="14" t="s">
        <v>374</v>
      </c>
      <c r="D42" s="20">
        <v>5</v>
      </c>
      <c r="E42" s="95">
        <v>7.11</v>
      </c>
      <c r="F42" s="20">
        <v>1.93</v>
      </c>
      <c r="G42" s="123">
        <v>116</v>
      </c>
      <c r="H42" s="123">
        <v>412</v>
      </c>
      <c r="I42" s="139">
        <v>14.02</v>
      </c>
      <c r="J42" s="69" t="s">
        <v>6</v>
      </c>
      <c r="K42" s="20" t="s">
        <v>784</v>
      </c>
      <c r="L42" s="20">
        <v>1</v>
      </c>
      <c r="M42" s="126"/>
      <c r="N42" s="69">
        <v>38</v>
      </c>
      <c r="O42" s="69" t="s">
        <v>224</v>
      </c>
      <c r="P42" s="148" t="s">
        <v>424</v>
      </c>
      <c r="Q42" s="20">
        <v>3</v>
      </c>
      <c r="R42" s="95">
        <v>9.67</v>
      </c>
      <c r="S42" s="139">
        <v>2.66</v>
      </c>
      <c r="T42" s="123">
        <v>108</v>
      </c>
      <c r="U42" s="123">
        <v>414</v>
      </c>
      <c r="V42" s="144">
        <v>2.27</v>
      </c>
      <c r="W42" s="69" t="s">
        <v>263</v>
      </c>
      <c r="X42" s="81"/>
      <c r="Y42" s="69">
        <v>1</v>
      </c>
      <c r="Z42" s="96"/>
      <c r="AA42" s="96"/>
      <c r="AB42" s="96"/>
      <c r="AC42" s="96"/>
      <c r="AD42" s="96"/>
      <c r="AE42" s="96"/>
      <c r="AF42" s="96"/>
      <c r="AG42" s="96"/>
      <c r="AH42" s="96"/>
    </row>
    <row r="43" spans="1:34" x14ac:dyDescent="0.25">
      <c r="A43" s="81">
        <v>39</v>
      </c>
      <c r="B43" s="69" t="s">
        <v>164</v>
      </c>
      <c r="C43" s="14" t="s">
        <v>375</v>
      </c>
      <c r="D43" s="69">
        <v>17</v>
      </c>
      <c r="E43" s="95">
        <v>8.08</v>
      </c>
      <c r="F43" s="20">
        <v>7.67</v>
      </c>
      <c r="G43" s="123">
        <v>117</v>
      </c>
      <c r="H43" s="123">
        <v>352</v>
      </c>
      <c r="I43" s="139">
        <v>13.88</v>
      </c>
      <c r="J43" s="69" t="s">
        <v>159</v>
      </c>
      <c r="K43" s="20" t="s">
        <v>784</v>
      </c>
      <c r="L43" s="20">
        <v>1</v>
      </c>
      <c r="M43" s="126"/>
      <c r="N43" s="69">
        <v>39</v>
      </c>
      <c r="O43" s="69" t="s">
        <v>225</v>
      </c>
      <c r="P43" s="149" t="s">
        <v>425</v>
      </c>
      <c r="Q43" s="69">
        <v>20</v>
      </c>
      <c r="R43" s="95">
        <v>21.8</v>
      </c>
      <c r="S43" s="139"/>
      <c r="T43" s="123">
        <v>138</v>
      </c>
      <c r="U43" s="123">
        <v>274</v>
      </c>
      <c r="V43" s="144">
        <v>3.1</v>
      </c>
      <c r="W43" s="69" t="s">
        <v>159</v>
      </c>
      <c r="X43" s="81"/>
      <c r="Y43" s="69">
        <v>1</v>
      </c>
      <c r="Z43" s="96"/>
      <c r="AA43" s="96"/>
      <c r="AB43" s="96"/>
      <c r="AC43" s="96"/>
      <c r="AD43" s="96"/>
      <c r="AE43" s="96"/>
      <c r="AF43" s="96"/>
      <c r="AG43" s="96"/>
      <c r="AH43" s="96"/>
    </row>
    <row r="44" spans="1:34" x14ac:dyDescent="0.25">
      <c r="A44" s="81">
        <v>40</v>
      </c>
      <c r="B44" s="69" t="s">
        <v>165</v>
      </c>
      <c r="C44" s="14" t="s">
        <v>376</v>
      </c>
      <c r="D44" s="20">
        <v>2</v>
      </c>
      <c r="E44" s="95">
        <v>8.49</v>
      </c>
      <c r="F44" s="20">
        <v>1.42</v>
      </c>
      <c r="G44" s="123">
        <v>109</v>
      </c>
      <c r="H44" s="123">
        <v>225</v>
      </c>
      <c r="I44" s="139">
        <v>0.78</v>
      </c>
      <c r="J44" s="69" t="s">
        <v>5</v>
      </c>
      <c r="K44" s="20"/>
      <c r="L44" s="20">
        <v>1</v>
      </c>
      <c r="M44" s="126"/>
      <c r="N44" s="69">
        <v>40</v>
      </c>
      <c r="O44" s="69" t="s">
        <v>226</v>
      </c>
      <c r="P44" s="148" t="s">
        <v>426</v>
      </c>
      <c r="Q44" s="20">
        <v>2</v>
      </c>
      <c r="R44" s="95">
        <v>8.98</v>
      </c>
      <c r="S44" s="139">
        <v>1.78</v>
      </c>
      <c r="T44" s="123">
        <v>122</v>
      </c>
      <c r="U44" s="123">
        <v>275</v>
      </c>
      <c r="V44" s="144">
        <v>1.58</v>
      </c>
      <c r="W44" s="81" t="s">
        <v>8</v>
      </c>
      <c r="X44" s="20" t="s">
        <v>5</v>
      </c>
      <c r="Y44" s="69">
        <v>1</v>
      </c>
      <c r="Z44" s="96"/>
      <c r="AA44" s="96"/>
      <c r="AB44" s="96"/>
      <c r="AC44" s="96"/>
      <c r="AD44" s="96"/>
      <c r="AE44" s="96"/>
      <c r="AF44" s="96"/>
      <c r="AG44" s="96"/>
      <c r="AH44" s="96"/>
    </row>
    <row r="45" spans="1:34" x14ac:dyDescent="0.25">
      <c r="A45" s="81">
        <v>41</v>
      </c>
      <c r="B45" s="69" t="s">
        <v>166</v>
      </c>
      <c r="C45" s="14" t="s">
        <v>377</v>
      </c>
      <c r="D45" s="69">
        <v>7</v>
      </c>
      <c r="E45" s="95">
        <v>16.100000000000001</v>
      </c>
      <c r="F45" s="20">
        <v>9.1300000000000008</v>
      </c>
      <c r="G45" s="123">
        <v>119</v>
      </c>
      <c r="H45" s="123">
        <v>404</v>
      </c>
      <c r="I45" s="139">
        <v>4</v>
      </c>
      <c r="J45" s="81" t="s">
        <v>8</v>
      </c>
      <c r="K45" s="81" t="s">
        <v>8</v>
      </c>
      <c r="L45" s="20">
        <v>1</v>
      </c>
      <c r="M45" s="126"/>
      <c r="N45" s="69">
        <v>41</v>
      </c>
      <c r="O45" s="69" t="s">
        <v>227</v>
      </c>
      <c r="P45" s="149" t="s">
        <v>427</v>
      </c>
      <c r="Q45" s="69">
        <v>17</v>
      </c>
      <c r="R45" s="95">
        <v>11.65</v>
      </c>
      <c r="S45" s="139">
        <v>4.93</v>
      </c>
      <c r="T45" s="137">
        <v>120</v>
      </c>
      <c r="U45" s="137">
        <v>288</v>
      </c>
      <c r="V45" s="128">
        <v>14.13</v>
      </c>
      <c r="W45" s="150" t="s">
        <v>6</v>
      </c>
      <c r="X45" s="81"/>
      <c r="Y45" s="69">
        <v>1</v>
      </c>
      <c r="Z45" s="96"/>
      <c r="AA45" s="96"/>
      <c r="AB45" s="96"/>
      <c r="AC45" s="96"/>
      <c r="AD45" s="96"/>
      <c r="AE45" s="96"/>
      <c r="AF45" s="96"/>
      <c r="AG45" s="96"/>
      <c r="AH45" s="96"/>
    </row>
    <row r="46" spans="1:34" ht="14" customHeight="1" x14ac:dyDescent="0.25">
      <c r="A46" s="81">
        <v>42</v>
      </c>
      <c r="B46" s="69" t="s">
        <v>167</v>
      </c>
      <c r="C46" s="14" t="s">
        <v>378</v>
      </c>
      <c r="D46" s="69">
        <v>3</v>
      </c>
      <c r="E46" s="95">
        <v>14.27</v>
      </c>
      <c r="F46" s="20">
        <v>4.03</v>
      </c>
      <c r="G46" s="123">
        <v>107</v>
      </c>
      <c r="H46" s="123">
        <v>191</v>
      </c>
      <c r="I46" s="139">
        <v>8.14</v>
      </c>
      <c r="J46" s="81" t="s">
        <v>267</v>
      </c>
      <c r="K46" s="20" t="s">
        <v>6</v>
      </c>
      <c r="L46" s="20">
        <v>1</v>
      </c>
      <c r="M46" s="126"/>
      <c r="N46" s="69">
        <v>42</v>
      </c>
      <c r="O46" s="69" t="s">
        <v>228</v>
      </c>
      <c r="P46" s="149" t="s">
        <v>428</v>
      </c>
      <c r="Q46" s="69">
        <v>17</v>
      </c>
      <c r="R46" s="95">
        <v>16.34</v>
      </c>
      <c r="S46" s="124">
        <v>5.25</v>
      </c>
      <c r="T46" s="137">
        <v>123</v>
      </c>
      <c r="U46" s="137">
        <v>275</v>
      </c>
      <c r="V46" s="128">
        <v>30.79</v>
      </c>
      <c r="W46" s="150" t="s">
        <v>6</v>
      </c>
      <c r="X46" s="20" t="s">
        <v>271</v>
      </c>
      <c r="Y46" s="69">
        <v>1</v>
      </c>
      <c r="Z46" s="96"/>
      <c r="AA46" s="96"/>
      <c r="AB46" s="96"/>
      <c r="AC46" s="96"/>
      <c r="AD46" s="96"/>
      <c r="AE46" s="96"/>
      <c r="AF46" s="96"/>
      <c r="AG46" s="96"/>
      <c r="AH46" s="96"/>
    </row>
    <row r="47" spans="1:34" x14ac:dyDescent="0.25">
      <c r="A47" s="81">
        <v>43</v>
      </c>
      <c r="B47" s="69" t="s">
        <v>169</v>
      </c>
      <c r="C47" s="14" t="s">
        <v>379</v>
      </c>
      <c r="D47" s="20">
        <v>22</v>
      </c>
      <c r="E47" s="95">
        <v>12.67</v>
      </c>
      <c r="F47" s="20">
        <v>7.44</v>
      </c>
      <c r="G47" s="123">
        <v>111</v>
      </c>
      <c r="H47" s="123">
        <v>290</v>
      </c>
      <c r="I47" s="139">
        <v>12.48</v>
      </c>
      <c r="J47" s="69" t="s">
        <v>6</v>
      </c>
      <c r="K47" s="20" t="s">
        <v>6</v>
      </c>
      <c r="L47" s="20">
        <v>1</v>
      </c>
      <c r="M47" s="126"/>
      <c r="N47" s="69">
        <v>43</v>
      </c>
      <c r="O47" s="69" t="s">
        <v>229</v>
      </c>
      <c r="P47" s="151" t="s">
        <v>429</v>
      </c>
      <c r="Q47" s="69">
        <v>10</v>
      </c>
      <c r="R47" s="95">
        <v>13.81</v>
      </c>
      <c r="S47" s="124">
        <v>4.03</v>
      </c>
      <c r="T47" s="137">
        <v>114</v>
      </c>
      <c r="U47" s="137">
        <v>475</v>
      </c>
      <c r="V47" s="128">
        <v>51.54</v>
      </c>
      <c r="W47" s="150" t="s">
        <v>6</v>
      </c>
      <c r="X47" s="138" t="s">
        <v>6</v>
      </c>
      <c r="Y47" s="69">
        <v>1</v>
      </c>
      <c r="Z47" s="96"/>
      <c r="AA47" s="96"/>
      <c r="AB47" s="96"/>
      <c r="AC47" s="96"/>
      <c r="AD47" s="96"/>
      <c r="AE47" s="96"/>
      <c r="AF47" s="96"/>
      <c r="AG47" s="96"/>
      <c r="AH47" s="96"/>
    </row>
    <row r="48" spans="1:34" x14ac:dyDescent="0.25">
      <c r="A48" s="81">
        <v>44</v>
      </c>
      <c r="B48" s="69" t="s">
        <v>170</v>
      </c>
      <c r="C48" s="14" t="s">
        <v>380</v>
      </c>
      <c r="D48" s="20">
        <v>11</v>
      </c>
      <c r="E48" s="95">
        <v>9.3000000000000007</v>
      </c>
      <c r="F48" s="20">
        <v>5.0999999999999996</v>
      </c>
      <c r="G48" s="123">
        <v>115</v>
      </c>
      <c r="H48" s="123">
        <v>304</v>
      </c>
      <c r="I48" s="139">
        <v>3.5</v>
      </c>
      <c r="J48" s="69" t="s">
        <v>6</v>
      </c>
      <c r="K48" s="20"/>
      <c r="L48" s="20">
        <v>1</v>
      </c>
      <c r="M48" s="126"/>
      <c r="N48" s="69">
        <v>44</v>
      </c>
      <c r="O48" s="69" t="s">
        <v>230</v>
      </c>
      <c r="P48" s="15" t="s">
        <v>430</v>
      </c>
      <c r="Q48" s="20">
        <v>2</v>
      </c>
      <c r="R48" s="95">
        <v>7.78</v>
      </c>
      <c r="S48" s="124">
        <v>3.2</v>
      </c>
      <c r="T48" s="137">
        <v>117</v>
      </c>
      <c r="U48" s="137">
        <v>729</v>
      </c>
      <c r="V48" s="128">
        <v>0.63</v>
      </c>
      <c r="W48" s="150" t="s">
        <v>5</v>
      </c>
      <c r="X48" s="81"/>
      <c r="Y48" s="69">
        <v>1</v>
      </c>
      <c r="Z48" s="96"/>
      <c r="AA48" s="96"/>
      <c r="AB48" s="96"/>
      <c r="AC48" s="96"/>
      <c r="AD48" s="96"/>
      <c r="AE48" s="96"/>
      <c r="AF48" s="96"/>
      <c r="AG48" s="96"/>
      <c r="AH48" s="96"/>
    </row>
    <row r="49" spans="1:34" x14ac:dyDescent="0.25">
      <c r="A49" s="81">
        <v>45</v>
      </c>
      <c r="B49" s="69" t="s">
        <v>171</v>
      </c>
      <c r="C49" s="94" t="s">
        <v>381</v>
      </c>
      <c r="D49" s="69">
        <v>4</v>
      </c>
      <c r="E49" s="134">
        <v>10.199999999999999</v>
      </c>
      <c r="F49" s="135">
        <v>4.1900000000000004</v>
      </c>
      <c r="G49" s="123">
        <v>115</v>
      </c>
      <c r="H49" s="117">
        <v>225</v>
      </c>
      <c r="I49" s="131">
        <v>37.15</v>
      </c>
      <c r="J49" s="69" t="s">
        <v>5</v>
      </c>
      <c r="K49" s="152"/>
      <c r="L49" s="20">
        <v>1</v>
      </c>
      <c r="M49" s="136"/>
      <c r="N49" s="69">
        <v>45</v>
      </c>
      <c r="O49" s="69" t="s">
        <v>231</v>
      </c>
      <c r="P49" s="15" t="s">
        <v>431</v>
      </c>
      <c r="Q49" s="20">
        <v>1</v>
      </c>
      <c r="R49" s="95">
        <v>9.3000000000000007</v>
      </c>
      <c r="S49" s="124">
        <v>3.48</v>
      </c>
      <c r="T49" s="137">
        <v>86</v>
      </c>
      <c r="U49" s="137">
        <v>540</v>
      </c>
      <c r="V49" s="128">
        <v>0.93</v>
      </c>
      <c r="W49" s="150" t="s">
        <v>5</v>
      </c>
      <c r="X49" s="69"/>
      <c r="Y49" s="69">
        <v>1</v>
      </c>
      <c r="Z49" s="96"/>
      <c r="AA49" s="96"/>
      <c r="AB49" s="96"/>
      <c r="AC49" s="96"/>
      <c r="AD49" s="96"/>
      <c r="AE49" s="96"/>
      <c r="AF49" s="96"/>
      <c r="AG49" s="96"/>
      <c r="AH49" s="96"/>
    </row>
    <row r="50" spans="1:34" x14ac:dyDescent="0.25">
      <c r="A50" s="81">
        <v>46</v>
      </c>
      <c r="B50" s="69" t="s">
        <v>172</v>
      </c>
      <c r="C50" s="94" t="s">
        <v>382</v>
      </c>
      <c r="D50" s="69">
        <v>7</v>
      </c>
      <c r="E50" s="134">
        <v>21.23</v>
      </c>
      <c r="F50" s="135">
        <v>12.69</v>
      </c>
      <c r="G50" s="123">
        <v>110</v>
      </c>
      <c r="H50" s="117">
        <v>383</v>
      </c>
      <c r="I50" s="131">
        <v>78.430000000000007</v>
      </c>
      <c r="J50" s="81" t="s">
        <v>8</v>
      </c>
      <c r="K50" s="152"/>
      <c r="L50" s="20">
        <v>1</v>
      </c>
      <c r="M50" s="136"/>
      <c r="N50" s="69">
        <v>46</v>
      </c>
      <c r="O50" s="69" t="s">
        <v>232</v>
      </c>
      <c r="P50" s="15" t="s">
        <v>432</v>
      </c>
      <c r="Q50" s="69">
        <v>24</v>
      </c>
      <c r="R50" s="95">
        <v>9.31</v>
      </c>
      <c r="S50" s="139">
        <v>3.33</v>
      </c>
      <c r="T50" s="153">
        <v>128</v>
      </c>
      <c r="U50" s="153">
        <v>233</v>
      </c>
      <c r="V50" s="128">
        <v>4</v>
      </c>
      <c r="W50" s="150" t="s">
        <v>6</v>
      </c>
      <c r="X50" s="138" t="s">
        <v>6</v>
      </c>
      <c r="Y50" s="69">
        <v>1</v>
      </c>
      <c r="Z50" s="96"/>
      <c r="AA50" s="96"/>
      <c r="AB50" s="96"/>
      <c r="AC50" s="96"/>
      <c r="AD50" s="96"/>
      <c r="AE50" s="96"/>
      <c r="AF50" s="96"/>
      <c r="AG50" s="96"/>
      <c r="AH50" s="96"/>
    </row>
    <row r="51" spans="1:34" x14ac:dyDescent="0.25">
      <c r="A51" s="81">
        <v>47</v>
      </c>
      <c r="B51" s="69" t="s">
        <v>176</v>
      </c>
      <c r="C51" s="151" t="s">
        <v>383</v>
      </c>
      <c r="D51" s="69">
        <v>10</v>
      </c>
      <c r="E51" s="134">
        <v>12.25</v>
      </c>
      <c r="F51" s="135">
        <v>3.76</v>
      </c>
      <c r="G51" s="123">
        <v>122</v>
      </c>
      <c r="H51" s="117">
        <v>294</v>
      </c>
      <c r="I51" s="131">
        <v>36.21</v>
      </c>
      <c r="J51" s="81" t="s">
        <v>8</v>
      </c>
      <c r="K51" s="81" t="s">
        <v>8</v>
      </c>
      <c r="L51" s="20">
        <v>1</v>
      </c>
      <c r="M51" s="136"/>
      <c r="N51" s="69">
        <v>47</v>
      </c>
      <c r="O51" s="69" t="s">
        <v>233</v>
      </c>
      <c r="P51" s="14" t="s">
        <v>433</v>
      </c>
      <c r="Q51" s="69">
        <v>14</v>
      </c>
      <c r="R51" s="95">
        <v>6.16</v>
      </c>
      <c r="S51" s="124">
        <v>2.4300000000000002</v>
      </c>
      <c r="T51" s="137">
        <v>113</v>
      </c>
      <c r="U51" s="137">
        <v>177</v>
      </c>
      <c r="V51" s="128">
        <v>4</v>
      </c>
      <c r="W51" s="150" t="s">
        <v>5</v>
      </c>
      <c r="X51" s="138" t="s">
        <v>5</v>
      </c>
      <c r="Y51" s="69">
        <v>1</v>
      </c>
      <c r="AH51" s="96"/>
    </row>
    <row r="52" spans="1:34" x14ac:dyDescent="0.25">
      <c r="A52" s="81">
        <v>48</v>
      </c>
      <c r="B52" s="69" t="s">
        <v>179</v>
      </c>
      <c r="C52" s="15" t="s">
        <v>384</v>
      </c>
      <c r="D52" s="20">
        <v>1</v>
      </c>
      <c r="E52" s="134">
        <v>10.17</v>
      </c>
      <c r="F52" s="135">
        <v>4.46</v>
      </c>
      <c r="G52" s="123">
        <v>112</v>
      </c>
      <c r="H52" s="117">
        <v>602</v>
      </c>
      <c r="I52" s="131">
        <v>57.58</v>
      </c>
      <c r="J52" s="150" t="s">
        <v>6</v>
      </c>
      <c r="K52" s="152" t="s">
        <v>6</v>
      </c>
      <c r="L52" s="20">
        <v>1</v>
      </c>
      <c r="M52" s="136"/>
      <c r="N52" s="69">
        <v>48</v>
      </c>
      <c r="O52" s="69" t="s">
        <v>234</v>
      </c>
      <c r="P52" s="14" t="s">
        <v>434</v>
      </c>
      <c r="Q52" s="69">
        <v>14</v>
      </c>
      <c r="R52" s="95">
        <v>8.11</v>
      </c>
      <c r="S52" s="124">
        <v>1.69</v>
      </c>
      <c r="T52" s="137">
        <v>102</v>
      </c>
      <c r="U52" s="137">
        <v>490</v>
      </c>
      <c r="V52" s="128">
        <v>2.0499999999999998</v>
      </c>
      <c r="W52" s="150" t="s">
        <v>6</v>
      </c>
      <c r="X52" s="138" t="s">
        <v>6</v>
      </c>
      <c r="Y52" s="69">
        <v>1</v>
      </c>
      <c r="AH52" s="96"/>
    </row>
    <row r="53" spans="1:34" x14ac:dyDescent="0.25">
      <c r="A53" s="81">
        <v>49</v>
      </c>
      <c r="B53" s="69" t="s">
        <v>177</v>
      </c>
      <c r="C53" s="15" t="s">
        <v>385</v>
      </c>
      <c r="D53" s="20">
        <v>7</v>
      </c>
      <c r="E53" s="95">
        <v>9.4600000000000009</v>
      </c>
      <c r="F53" s="80">
        <v>4.9400000000000004</v>
      </c>
      <c r="G53" s="123">
        <v>114</v>
      </c>
      <c r="H53" s="117">
        <v>215</v>
      </c>
      <c r="I53" s="141">
        <v>12</v>
      </c>
      <c r="J53" s="150" t="s">
        <v>5</v>
      </c>
      <c r="K53" s="20"/>
      <c r="L53" s="20">
        <v>1</v>
      </c>
      <c r="M53" s="136"/>
      <c r="N53" s="69">
        <v>49</v>
      </c>
      <c r="O53" s="69" t="s">
        <v>235</v>
      </c>
      <c r="P53" s="14" t="s">
        <v>435</v>
      </c>
      <c r="Q53" s="69">
        <v>14</v>
      </c>
      <c r="R53" s="95">
        <v>17</v>
      </c>
      <c r="S53" s="139">
        <v>8.02</v>
      </c>
      <c r="T53" s="154">
        <v>127</v>
      </c>
      <c r="U53" s="123">
        <v>226</v>
      </c>
      <c r="V53" s="144">
        <v>4.7300000000000004</v>
      </c>
      <c r="W53" s="150" t="s">
        <v>5</v>
      </c>
      <c r="X53" s="69"/>
      <c r="Y53" s="69">
        <v>4</v>
      </c>
      <c r="AH53" s="96"/>
    </row>
    <row r="54" spans="1:34" x14ac:dyDescent="0.25">
      <c r="A54" s="81">
        <v>50</v>
      </c>
      <c r="B54" s="69" t="s">
        <v>178</v>
      </c>
      <c r="C54" s="14" t="s">
        <v>386</v>
      </c>
      <c r="D54" s="20">
        <v>2</v>
      </c>
      <c r="E54" s="134">
        <v>5.36</v>
      </c>
      <c r="F54" s="135">
        <v>0.9</v>
      </c>
      <c r="G54" s="123">
        <v>112</v>
      </c>
      <c r="H54" s="117">
        <v>379</v>
      </c>
      <c r="I54" s="131">
        <v>5</v>
      </c>
      <c r="J54" s="150" t="s">
        <v>6</v>
      </c>
      <c r="K54" s="152" t="s">
        <v>269</v>
      </c>
      <c r="L54" s="20">
        <v>1</v>
      </c>
      <c r="M54" s="136"/>
      <c r="N54" s="69">
        <v>50</v>
      </c>
      <c r="O54" s="69" t="s">
        <v>236</v>
      </c>
      <c r="P54" s="14" t="s">
        <v>436</v>
      </c>
      <c r="Q54" s="69">
        <v>15</v>
      </c>
      <c r="R54" s="95">
        <v>12.89</v>
      </c>
      <c r="S54" s="139">
        <v>3.7</v>
      </c>
      <c r="T54" s="137">
        <v>113</v>
      </c>
      <c r="U54" s="137">
        <v>494</v>
      </c>
      <c r="V54" s="128">
        <v>3.26</v>
      </c>
      <c r="W54" s="150" t="s">
        <v>6</v>
      </c>
      <c r="X54" s="69"/>
      <c r="Y54" s="69">
        <v>1</v>
      </c>
      <c r="AH54" s="96"/>
    </row>
    <row r="55" spans="1:34" x14ac:dyDescent="0.25">
      <c r="J55" s="109"/>
      <c r="L55" s="96"/>
      <c r="M55" s="96"/>
      <c r="N55" s="69">
        <v>51</v>
      </c>
      <c r="O55" s="69" t="s">
        <v>237</v>
      </c>
      <c r="P55" s="14" t="s">
        <v>437</v>
      </c>
      <c r="Q55" s="69">
        <v>11</v>
      </c>
      <c r="R55" s="95">
        <v>9.01</v>
      </c>
      <c r="S55" s="139">
        <v>4.29</v>
      </c>
      <c r="T55" s="153">
        <v>107</v>
      </c>
      <c r="U55" s="153">
        <v>286</v>
      </c>
      <c r="V55" s="128">
        <v>5</v>
      </c>
      <c r="W55" s="150" t="s">
        <v>5</v>
      </c>
      <c r="X55" s="69" t="s">
        <v>5</v>
      </c>
      <c r="Y55" s="69">
        <v>1</v>
      </c>
    </row>
    <row r="56" spans="1:34" ht="13" x14ac:dyDescent="0.35">
      <c r="A56" s="155" t="s">
        <v>56</v>
      </c>
      <c r="J56" s="109"/>
      <c r="L56" s="96"/>
      <c r="M56" s="96"/>
      <c r="N56" s="109"/>
      <c r="R56" s="109"/>
      <c r="W56" s="109"/>
    </row>
    <row r="57" spans="1:34" ht="13" x14ac:dyDescent="0.3">
      <c r="A57" s="96" t="s">
        <v>6</v>
      </c>
      <c r="B57" s="156" t="s">
        <v>441</v>
      </c>
      <c r="C57" s="96"/>
      <c r="D57" s="96"/>
      <c r="J57" s="109"/>
      <c r="L57" s="96"/>
      <c r="M57" s="96"/>
      <c r="N57" s="109"/>
      <c r="W57" s="109"/>
    </row>
    <row r="58" spans="1:34" ht="13" x14ac:dyDescent="0.3">
      <c r="A58" s="96" t="s">
        <v>5</v>
      </c>
      <c r="B58" s="156" t="s">
        <v>442</v>
      </c>
      <c r="C58" s="96"/>
      <c r="D58" s="96"/>
      <c r="J58" s="109"/>
      <c r="L58" s="96"/>
      <c r="M58" s="96"/>
      <c r="N58" s="109"/>
      <c r="W58" s="109"/>
    </row>
    <row r="59" spans="1:34" ht="13" x14ac:dyDescent="0.3">
      <c r="A59" s="96" t="s">
        <v>159</v>
      </c>
      <c r="B59" s="156" t="s">
        <v>439</v>
      </c>
      <c r="C59" s="96"/>
      <c r="D59" s="96"/>
      <c r="J59" s="109"/>
      <c r="L59" s="96"/>
      <c r="M59" s="96"/>
      <c r="N59" s="109"/>
      <c r="W59" s="109"/>
    </row>
    <row r="60" spans="1:34" ht="13" x14ac:dyDescent="0.3">
      <c r="A60" s="96" t="s">
        <v>263</v>
      </c>
      <c r="B60" s="156" t="s">
        <v>440</v>
      </c>
      <c r="C60" s="96"/>
      <c r="D60" s="96"/>
      <c r="J60" s="109"/>
      <c r="L60" s="96"/>
      <c r="M60" s="96"/>
      <c r="N60" s="109"/>
      <c r="W60" s="109"/>
    </row>
    <row r="61" spans="1:34" ht="13" x14ac:dyDescent="0.35">
      <c r="A61" s="96" t="s">
        <v>272</v>
      </c>
      <c r="B61" s="157" t="s">
        <v>456</v>
      </c>
      <c r="C61" s="96"/>
      <c r="D61" s="96"/>
      <c r="J61" s="109"/>
      <c r="L61" s="96"/>
      <c r="M61" s="96"/>
      <c r="N61" s="109"/>
      <c r="W61" s="109"/>
    </row>
    <row r="62" spans="1:34" x14ac:dyDescent="0.35">
      <c r="C62" s="96"/>
      <c r="D62" s="96"/>
      <c r="J62" s="109"/>
      <c r="L62" s="96"/>
      <c r="M62" s="96"/>
      <c r="N62" s="109"/>
    </row>
    <row r="63" spans="1:34" ht="13" x14ac:dyDescent="0.35">
      <c r="C63" s="474" t="s">
        <v>22</v>
      </c>
      <c r="D63" s="474"/>
      <c r="E63" s="474"/>
      <c r="F63" s="474"/>
      <c r="G63" s="474"/>
      <c r="H63" s="158"/>
      <c r="I63" s="159"/>
      <c r="K63" s="96"/>
      <c r="L63" s="96"/>
      <c r="M63" s="112"/>
      <c r="P63" s="107"/>
      <c r="R63" s="109"/>
      <c r="Y63" s="111"/>
      <c r="AH63" s="96"/>
    </row>
    <row r="64" spans="1:34" ht="13" x14ac:dyDescent="0.35">
      <c r="C64" s="469" t="s">
        <v>13</v>
      </c>
      <c r="D64" s="471" t="s">
        <v>49</v>
      </c>
      <c r="E64" s="472"/>
      <c r="F64" s="471" t="s">
        <v>48</v>
      </c>
      <c r="G64" s="472"/>
      <c r="L64" s="96"/>
      <c r="M64" s="96"/>
      <c r="P64" s="107"/>
      <c r="R64" s="109"/>
      <c r="Y64" s="111"/>
      <c r="AH64" s="96"/>
    </row>
    <row r="65" spans="3:34" ht="13" customHeight="1" x14ac:dyDescent="0.35">
      <c r="C65" s="470"/>
      <c r="D65" s="69" t="s">
        <v>31</v>
      </c>
      <c r="E65" s="95" t="s">
        <v>32</v>
      </c>
      <c r="F65" s="69" t="s">
        <v>31</v>
      </c>
      <c r="G65" s="160" t="s">
        <v>32</v>
      </c>
      <c r="L65" s="161"/>
      <c r="M65" s="161"/>
      <c r="P65" s="107"/>
      <c r="R65" s="109"/>
      <c r="Y65" s="111"/>
      <c r="AH65" s="96"/>
    </row>
    <row r="66" spans="3:34" ht="13" x14ac:dyDescent="0.35">
      <c r="C66" s="113" t="s">
        <v>11</v>
      </c>
      <c r="D66" s="116">
        <f>MIN($E$5:$E$54)</f>
        <v>4.99</v>
      </c>
      <c r="E66" s="116">
        <f>MAX($E$5:$E$54)</f>
        <v>26.96</v>
      </c>
      <c r="F66" s="116">
        <f>MIN($R$5:$R$55)</f>
        <v>5.69</v>
      </c>
      <c r="G66" s="116">
        <f>MAX($R$5:$R$55)</f>
        <v>25.5</v>
      </c>
      <c r="L66" s="96"/>
      <c r="M66" s="96"/>
      <c r="P66" s="107"/>
      <c r="R66" s="109"/>
      <c r="Y66" s="111"/>
      <c r="AH66" s="96"/>
    </row>
    <row r="67" spans="3:34" ht="13" x14ac:dyDescent="0.35">
      <c r="C67" s="113" t="s">
        <v>309</v>
      </c>
      <c r="D67" s="116">
        <f>MIN($F$5:$F$54)</f>
        <v>0.9</v>
      </c>
      <c r="E67" s="116">
        <f>MAX($F$5:$F$54)</f>
        <v>19.36</v>
      </c>
      <c r="F67" s="81">
        <f>MIN($S$5:$S$55)</f>
        <v>1.36</v>
      </c>
      <c r="G67" s="116">
        <f>MAX($S$5:$S$55)</f>
        <v>22.8</v>
      </c>
      <c r="L67" s="96"/>
      <c r="M67" s="96"/>
      <c r="P67" s="107"/>
      <c r="R67" s="109"/>
      <c r="Y67" s="111"/>
      <c r="AH67" s="96"/>
    </row>
    <row r="68" spans="3:34" ht="13" x14ac:dyDescent="0.35">
      <c r="C68" s="113" t="s">
        <v>329</v>
      </c>
      <c r="D68" s="116">
        <f>MIN($G$5:$G$54)</f>
        <v>89</v>
      </c>
      <c r="E68" s="116">
        <f>MAX($G$5:$G$54)</f>
        <v>125</v>
      </c>
      <c r="F68" s="81">
        <f>MIN($T$5:$T$55)</f>
        <v>86</v>
      </c>
      <c r="G68" s="118">
        <f>MAX($T$5:$T$55)</f>
        <v>138</v>
      </c>
      <c r="K68" s="96"/>
      <c r="L68" s="96"/>
      <c r="M68" s="96"/>
      <c r="P68" s="107"/>
      <c r="R68" s="109"/>
      <c r="Y68" s="111"/>
      <c r="AH68" s="96"/>
    </row>
    <row r="69" spans="3:34" ht="13" x14ac:dyDescent="0.35">
      <c r="C69" s="113" t="s">
        <v>57</v>
      </c>
      <c r="D69" s="81">
        <f>MIN($H$5:$H$54)</f>
        <v>191</v>
      </c>
      <c r="E69" s="116">
        <f>MAX($H$5:$H$54)</f>
        <v>693</v>
      </c>
      <c r="F69" s="81">
        <f>MIN($U$5:$U$55)</f>
        <v>177</v>
      </c>
      <c r="G69" s="118">
        <f>MAX($U$5:$U$55)</f>
        <v>781</v>
      </c>
      <c r="K69" s="96"/>
      <c r="L69" s="96"/>
      <c r="M69" s="96"/>
      <c r="Q69" s="96"/>
      <c r="R69" s="109"/>
      <c r="Y69" s="111"/>
      <c r="AH69" s="96"/>
    </row>
    <row r="70" spans="3:34" ht="13" x14ac:dyDescent="0.35">
      <c r="C70" s="113" t="s">
        <v>1</v>
      </c>
      <c r="D70" s="116">
        <f>MIN($I$5:$I$54)</f>
        <v>0.19</v>
      </c>
      <c r="E70" s="116">
        <f>MAX($I$5:$I$54)</f>
        <v>126.97</v>
      </c>
      <c r="F70" s="116">
        <f>MIN($V$5:$V$55)</f>
        <v>0.39</v>
      </c>
      <c r="G70" s="116">
        <f>MAX($V$5:$V$55)</f>
        <v>177.78</v>
      </c>
      <c r="K70" s="96"/>
      <c r="L70" s="96"/>
      <c r="M70" s="96"/>
      <c r="Q70" s="96"/>
      <c r="R70" s="109"/>
      <c r="Y70" s="111"/>
      <c r="AH70" s="96"/>
    </row>
    <row r="71" spans="3:34" ht="13" x14ac:dyDescent="0.35">
      <c r="C71" s="466" t="s">
        <v>16</v>
      </c>
      <c r="D71" s="467"/>
      <c r="E71" s="467"/>
      <c r="F71" s="467"/>
      <c r="G71" s="468"/>
      <c r="I71" s="162"/>
      <c r="K71" s="96"/>
      <c r="L71" s="96"/>
      <c r="M71" s="163"/>
      <c r="Q71" s="96"/>
      <c r="R71" s="109"/>
      <c r="Y71" s="111"/>
      <c r="AH71" s="96"/>
    </row>
    <row r="72" spans="3:34" ht="13" x14ac:dyDescent="0.35">
      <c r="C72" s="94" t="s">
        <v>310</v>
      </c>
      <c r="D72" s="69">
        <f>COUNTIFS($D$5:$D$54, "&lt;6", $E$5:$E$54, "&lt;5")</f>
        <v>0</v>
      </c>
      <c r="E72" s="164">
        <f t="shared" ref="E72:E80" si="0">D72/50</f>
        <v>0</v>
      </c>
      <c r="F72" s="69">
        <f>COUNTIFS($Q$5:$Q$55, "&lt;6", $R$5:$R$55, "&lt;5")</f>
        <v>0</v>
      </c>
      <c r="G72" s="164">
        <f>F72/51</f>
        <v>0</v>
      </c>
      <c r="I72" s="162"/>
      <c r="K72" s="96"/>
      <c r="L72" s="96"/>
      <c r="M72" s="163"/>
      <c r="Q72" s="96"/>
      <c r="R72" s="109"/>
      <c r="Y72" s="111"/>
      <c r="AH72" s="96"/>
    </row>
    <row r="73" spans="3:34" ht="13" x14ac:dyDescent="0.35">
      <c r="C73" s="94" t="s">
        <v>311</v>
      </c>
      <c r="D73" s="69">
        <f>COUNTIFS($D$5:$D$54, "&gt;=6&amp;&lt;12", $E$5:$E$54, "&lt;5")</f>
        <v>0</v>
      </c>
      <c r="E73" s="164">
        <f t="shared" si="0"/>
        <v>0</v>
      </c>
      <c r="F73" s="69">
        <f>COUNTIFS($Q$5:$Q$55, "&gt;=6 &amp; &lt;12", $R$5:$R$55, "&lt;6")</f>
        <v>0</v>
      </c>
      <c r="G73" s="164">
        <f t="shared" ref="G73:G78" si="1">F73/51</f>
        <v>0</v>
      </c>
      <c r="I73" s="162"/>
      <c r="K73" s="96"/>
      <c r="L73" s="96"/>
      <c r="M73" s="163"/>
      <c r="Q73" s="96"/>
      <c r="R73" s="109"/>
      <c r="Y73" s="111"/>
      <c r="AH73" s="96"/>
    </row>
    <row r="74" spans="3:34" ht="13" x14ac:dyDescent="0.35">
      <c r="C74" s="79" t="s">
        <v>312</v>
      </c>
      <c r="D74" s="69">
        <f>COUNTIFS($D$5:$D$54, "&gt;=12", $E$5:$E$54, "&lt;5")</f>
        <v>0</v>
      </c>
      <c r="E74" s="164">
        <f t="shared" si="0"/>
        <v>0</v>
      </c>
      <c r="F74" s="69">
        <f>COUNTIFS($Q$5:$Q$55, "&gt;=12", $R$5:$R$55, "&lt;5")</f>
        <v>0</v>
      </c>
      <c r="G74" s="164">
        <f t="shared" si="1"/>
        <v>0</v>
      </c>
      <c r="I74" s="162"/>
      <c r="K74" s="96"/>
      <c r="L74" s="96"/>
      <c r="M74" s="163"/>
      <c r="Q74" s="96"/>
      <c r="R74" s="109"/>
      <c r="Y74" s="111"/>
      <c r="AH74" s="96"/>
    </row>
    <row r="75" spans="3:34" ht="13" x14ac:dyDescent="0.35">
      <c r="C75" s="292" t="s">
        <v>767</v>
      </c>
      <c r="D75" s="81">
        <f>SUM(D72:D74)</f>
        <v>0</v>
      </c>
      <c r="E75" s="164">
        <f t="shared" si="0"/>
        <v>0</v>
      </c>
      <c r="F75" s="81">
        <f>SUM(F72:F74)</f>
        <v>0</v>
      </c>
      <c r="G75" s="164">
        <f t="shared" si="1"/>
        <v>0</v>
      </c>
      <c r="I75" s="162"/>
      <c r="K75" s="96"/>
      <c r="L75" s="96"/>
      <c r="M75" s="163"/>
      <c r="Q75" s="96"/>
      <c r="R75" s="109"/>
      <c r="Y75" s="111"/>
      <c r="AH75" s="96"/>
    </row>
    <row r="76" spans="3:34" ht="13" x14ac:dyDescent="0.35">
      <c r="C76" s="94" t="s">
        <v>313</v>
      </c>
      <c r="D76" s="69">
        <f>COUNTIFS($D$5:$D$54, "&lt;6", $E$5:$E$54, "&gt;15")</f>
        <v>4</v>
      </c>
      <c r="E76" s="164">
        <f t="shared" si="0"/>
        <v>0.08</v>
      </c>
      <c r="F76" s="69">
        <f>COUNTIFS($Q$5:$Q$55, "&lt;6", $R$5:$R$55, "&gt;15")</f>
        <v>8</v>
      </c>
      <c r="G76" s="164">
        <f t="shared" si="1"/>
        <v>0.15686274509803921</v>
      </c>
      <c r="I76" s="162"/>
      <c r="K76" s="96"/>
      <c r="L76" s="96"/>
      <c r="M76" s="163"/>
      <c r="Q76" s="96"/>
      <c r="R76" s="109"/>
      <c r="Y76" s="111"/>
      <c r="AH76" s="96"/>
    </row>
    <row r="77" spans="3:34" ht="13" x14ac:dyDescent="0.35">
      <c r="C77" s="94" t="s">
        <v>314</v>
      </c>
      <c r="D77" s="69">
        <f>COUNTIFS($D$5:$D$54, "&gt;=6 &amp; &lt;12", $E$5:$E$54, "&gt;17.5")</f>
        <v>0</v>
      </c>
      <c r="E77" s="164">
        <f t="shared" si="0"/>
        <v>0</v>
      </c>
      <c r="F77" s="69">
        <f>COUNTIFS($Q$5:$Q$55, "&gt;=6 &amp; &lt;12", $R$5:$R$55, "&gt;17.5")</f>
        <v>0</v>
      </c>
      <c r="G77" s="164">
        <f t="shared" si="1"/>
        <v>0</v>
      </c>
      <c r="I77" s="162"/>
      <c r="K77" s="96"/>
      <c r="L77" s="96"/>
      <c r="M77" s="163"/>
      <c r="Q77" s="96"/>
      <c r="R77" s="109"/>
      <c r="Y77" s="111"/>
      <c r="AH77" s="96"/>
    </row>
    <row r="78" spans="3:34" ht="13" x14ac:dyDescent="0.35">
      <c r="C78" s="79" t="s">
        <v>315</v>
      </c>
      <c r="D78" s="69">
        <f>COUNTIFS($D$5:$D$54, "&gt;=12", $E$5:$E$54, "&gt;17")</f>
        <v>1</v>
      </c>
      <c r="E78" s="164">
        <f t="shared" si="0"/>
        <v>0.02</v>
      </c>
      <c r="F78" s="69">
        <f>COUNTIFS($R$5:$R$55, "&gt;=12", $S$5:$S$55, "&gt;17")</f>
        <v>1</v>
      </c>
      <c r="G78" s="164">
        <f t="shared" si="1"/>
        <v>1.9607843137254902E-2</v>
      </c>
      <c r="I78" s="162"/>
      <c r="K78" s="96"/>
      <c r="L78" s="96"/>
      <c r="M78" s="163"/>
      <c r="Q78" s="96"/>
      <c r="R78" s="109"/>
      <c r="Y78" s="111"/>
      <c r="AH78" s="96"/>
    </row>
    <row r="79" spans="3:34" ht="13" x14ac:dyDescent="0.35">
      <c r="C79" s="292" t="s">
        <v>768</v>
      </c>
      <c r="D79" s="118">
        <f>SUM(D76:D78)</f>
        <v>5</v>
      </c>
      <c r="E79" s="164">
        <f t="shared" si="0"/>
        <v>0.1</v>
      </c>
      <c r="F79" s="81">
        <f>SUM(F76:F78)</f>
        <v>9</v>
      </c>
      <c r="G79" s="164">
        <f>F79/51</f>
        <v>0.17647058823529413</v>
      </c>
      <c r="K79" s="96"/>
      <c r="L79" s="96"/>
      <c r="M79" s="165"/>
      <c r="Q79" s="96"/>
      <c r="R79" s="109"/>
      <c r="Y79" s="111"/>
      <c r="AH79" s="96"/>
    </row>
    <row r="80" spans="3:34" ht="13" x14ac:dyDescent="0.35">
      <c r="C80" s="292" t="s">
        <v>769</v>
      </c>
      <c r="D80" s="118">
        <f>50-D79</f>
        <v>45</v>
      </c>
      <c r="E80" s="164">
        <f t="shared" si="0"/>
        <v>0.9</v>
      </c>
      <c r="F80" s="118">
        <f>51-F79</f>
        <v>42</v>
      </c>
      <c r="G80" s="164">
        <f>F80/51</f>
        <v>0.82352941176470584</v>
      </c>
      <c r="K80" s="96"/>
      <c r="L80" s="96"/>
      <c r="M80" s="165"/>
      <c r="Q80" s="96"/>
      <c r="R80" s="109"/>
      <c r="Y80" s="111"/>
      <c r="AH80" s="96"/>
    </row>
    <row r="81" spans="3:34" ht="13" x14ac:dyDescent="0.35">
      <c r="C81" s="466" t="s">
        <v>309</v>
      </c>
      <c r="D81" s="467"/>
      <c r="E81" s="467"/>
      <c r="F81" s="467"/>
      <c r="G81" s="468"/>
      <c r="K81" s="96"/>
      <c r="L81" s="96"/>
      <c r="M81" s="165"/>
      <c r="Q81" s="96"/>
      <c r="R81" s="109"/>
      <c r="Z81" s="96"/>
      <c r="AA81" s="96"/>
      <c r="AB81" s="96"/>
      <c r="AC81" s="96"/>
      <c r="AD81" s="96"/>
      <c r="AE81" s="96"/>
      <c r="AF81" s="96"/>
      <c r="AG81" s="96"/>
      <c r="AH81" s="96"/>
    </row>
    <row r="82" spans="3:34" x14ac:dyDescent="0.35">
      <c r="C82" s="94" t="s">
        <v>310</v>
      </c>
      <c r="D82" s="69">
        <f>COUNTIFS($D$5:$D$54, "&lt;6", $F$5:$F$54, "&lt;1")</f>
        <v>1</v>
      </c>
      <c r="E82" s="164">
        <f t="shared" ref="E82:E90" si="2">D82/50</f>
        <v>0.02</v>
      </c>
      <c r="F82" s="69">
        <f>COUNTIFS($Q$5:$Q$55, "&lt;6", $S$5:$S$55, "&lt;1")</f>
        <v>0</v>
      </c>
      <c r="G82" s="164">
        <f t="shared" ref="G82:G90" si="3">F82/51</f>
        <v>0</v>
      </c>
      <c r="K82" s="96"/>
      <c r="L82" s="96"/>
      <c r="M82" s="165"/>
      <c r="Q82" s="96"/>
      <c r="R82" s="109"/>
      <c r="Z82" s="96"/>
      <c r="AA82" s="96"/>
      <c r="AB82" s="96"/>
      <c r="AC82" s="96"/>
      <c r="AD82" s="96"/>
      <c r="AE82" s="96"/>
      <c r="AF82" s="96"/>
      <c r="AG82" s="96"/>
      <c r="AH82" s="96"/>
    </row>
    <row r="83" spans="3:34" x14ac:dyDescent="0.35">
      <c r="C83" s="94" t="s">
        <v>311</v>
      </c>
      <c r="D83" s="69">
        <f>COUNTIFS($D$5:$D$54, "&gt;=6 &amp; &lt;12", $F$5:$F$54, "&lt;1")</f>
        <v>0</v>
      </c>
      <c r="E83" s="164">
        <f t="shared" si="2"/>
        <v>0</v>
      </c>
      <c r="F83" s="69">
        <f>COUNTIFS($Q$5:$Q$55, "&gt;=6 &amp; &lt;12", $S$5:$S$55, "&lt;1")</f>
        <v>0</v>
      </c>
      <c r="G83" s="164">
        <f t="shared" si="3"/>
        <v>0</v>
      </c>
      <c r="K83" s="96"/>
      <c r="L83" s="96"/>
      <c r="M83" s="165"/>
      <c r="Q83" s="96"/>
      <c r="R83" s="109"/>
      <c r="Z83" s="96"/>
      <c r="AA83" s="96"/>
      <c r="AB83" s="96"/>
      <c r="AC83" s="96"/>
      <c r="AD83" s="96"/>
      <c r="AE83" s="96"/>
      <c r="AF83" s="96"/>
      <c r="AG83" s="96"/>
      <c r="AH83" s="96"/>
    </row>
    <row r="84" spans="3:34" x14ac:dyDescent="0.35">
      <c r="C84" s="79" t="s">
        <v>312</v>
      </c>
      <c r="D84" s="69">
        <f>COUNTIFS($D$5:$D$54, "&gt;=12", $F$5:$F$54, "&lt;1")</f>
        <v>0</v>
      </c>
      <c r="E84" s="164">
        <f t="shared" si="2"/>
        <v>0</v>
      </c>
      <c r="F84" s="69">
        <f>COUNTIFS($Q$5:$Q$55, "&gt;=12", $S$5:$S$55, "&lt;1")</f>
        <v>0</v>
      </c>
      <c r="G84" s="164">
        <f t="shared" si="3"/>
        <v>0</v>
      </c>
      <c r="K84" s="96"/>
      <c r="L84" s="96"/>
      <c r="M84" s="165"/>
      <c r="Q84" s="96"/>
      <c r="R84" s="109"/>
      <c r="Z84" s="96"/>
      <c r="AA84" s="96"/>
      <c r="AB84" s="96"/>
      <c r="AC84" s="96"/>
      <c r="AD84" s="96"/>
      <c r="AE84" s="96"/>
      <c r="AF84" s="96"/>
      <c r="AG84" s="96"/>
      <c r="AH84" s="96"/>
    </row>
    <row r="85" spans="3:34" ht="13" x14ac:dyDescent="0.35">
      <c r="C85" s="292" t="s">
        <v>767</v>
      </c>
      <c r="D85" s="118">
        <f>SUM(D82:D84)</f>
        <v>1</v>
      </c>
      <c r="E85" s="164">
        <f t="shared" si="2"/>
        <v>0.02</v>
      </c>
      <c r="F85" s="81">
        <f>SUM(F82:F84)</f>
        <v>0</v>
      </c>
      <c r="G85" s="164">
        <f t="shared" si="3"/>
        <v>0</v>
      </c>
      <c r="K85" s="96"/>
      <c r="L85" s="96"/>
      <c r="M85" s="165"/>
      <c r="Q85" s="96"/>
      <c r="R85" s="109"/>
      <c r="Z85" s="96"/>
      <c r="AA85" s="96"/>
      <c r="AB85" s="96"/>
      <c r="AC85" s="96"/>
      <c r="AD85" s="96"/>
      <c r="AE85" s="96"/>
      <c r="AF85" s="96"/>
      <c r="AG85" s="96"/>
      <c r="AH85" s="96"/>
    </row>
    <row r="86" spans="3:34" x14ac:dyDescent="0.35">
      <c r="C86" s="94" t="s">
        <v>318</v>
      </c>
      <c r="D86" s="69">
        <f>COUNTIFS($D$5:$D$54, "&lt;6", $F$5:$F$54, "&gt;5")</f>
        <v>13</v>
      </c>
      <c r="E86" s="164">
        <f t="shared" si="2"/>
        <v>0.26</v>
      </c>
      <c r="F86" s="69">
        <f>COUNTIFS($Q$5:$Q$55, "&lt;6", $S$5:$S$55, "&gt;5")</f>
        <v>9</v>
      </c>
      <c r="G86" s="164">
        <f t="shared" si="3"/>
        <v>0.17647058823529413</v>
      </c>
      <c r="K86" s="96"/>
      <c r="L86" s="96"/>
      <c r="M86" s="165"/>
      <c r="Q86" s="96"/>
      <c r="R86" s="109"/>
      <c r="Z86" s="96"/>
      <c r="AA86" s="96"/>
      <c r="AB86" s="96"/>
      <c r="AC86" s="96"/>
      <c r="AD86" s="96"/>
      <c r="AE86" s="96"/>
      <c r="AF86" s="96"/>
      <c r="AG86" s="96"/>
      <c r="AH86" s="96"/>
    </row>
    <row r="87" spans="3:34" x14ac:dyDescent="0.35">
      <c r="C87" s="94" t="s">
        <v>319</v>
      </c>
      <c r="D87" s="69">
        <f>COUNTIFS($D$5:$D$54, "&gt;=6 &amp;&lt;12", $F$5:$F$54, "&gt;8.5")</f>
        <v>0</v>
      </c>
      <c r="E87" s="164">
        <f t="shared" si="2"/>
        <v>0</v>
      </c>
      <c r="F87" s="69">
        <f>COUNTIFS($Q$5:$Q$55, "&gt;=6 &amp;&lt;12", $S$5:$S$55, "&gt;8.5")</f>
        <v>0</v>
      </c>
      <c r="G87" s="164">
        <f t="shared" si="3"/>
        <v>0</v>
      </c>
      <c r="K87" s="96"/>
      <c r="L87" s="96"/>
      <c r="M87" s="165"/>
      <c r="Q87" s="96"/>
      <c r="R87" s="109"/>
      <c r="Z87" s="96"/>
      <c r="AA87" s="96"/>
      <c r="AB87" s="96"/>
      <c r="AC87" s="96"/>
      <c r="AD87" s="96"/>
      <c r="AE87" s="96"/>
      <c r="AF87" s="96"/>
      <c r="AG87" s="96"/>
      <c r="AH87" s="96"/>
    </row>
    <row r="88" spans="3:34" x14ac:dyDescent="0.35">
      <c r="C88" s="79" t="s">
        <v>320</v>
      </c>
      <c r="D88" s="69">
        <f>COUNTIFS($D$5:$D$54, "&gt;=12", $F$5:$F$54, "&gt;8.5")</f>
        <v>1</v>
      </c>
      <c r="E88" s="164">
        <f t="shared" si="2"/>
        <v>0.02</v>
      </c>
      <c r="F88" s="69">
        <f>COUNTIFS($Q$5:$Q$55, "&gt;12", $S$5:$S$55, "&gt;8.5")</f>
        <v>2</v>
      </c>
      <c r="G88" s="164">
        <f t="shared" si="3"/>
        <v>3.9215686274509803E-2</v>
      </c>
      <c r="K88" s="96"/>
      <c r="L88" s="96"/>
      <c r="M88" s="165"/>
      <c r="Q88" s="96"/>
      <c r="R88" s="109"/>
      <c r="Z88" s="96"/>
      <c r="AA88" s="96"/>
      <c r="AB88" s="96"/>
      <c r="AC88" s="96"/>
      <c r="AD88" s="96"/>
      <c r="AE88" s="96"/>
      <c r="AF88" s="96"/>
      <c r="AG88" s="96"/>
      <c r="AH88" s="96"/>
    </row>
    <row r="89" spans="3:34" ht="13" x14ac:dyDescent="0.35">
      <c r="C89" s="292" t="s">
        <v>768</v>
      </c>
      <c r="D89" s="118">
        <f>SUM(D86:D88)</f>
        <v>14</v>
      </c>
      <c r="E89" s="164">
        <f t="shared" si="2"/>
        <v>0.28000000000000003</v>
      </c>
      <c r="F89" s="81">
        <f>SUM(F86:F88)</f>
        <v>11</v>
      </c>
      <c r="G89" s="164">
        <f t="shared" si="3"/>
        <v>0.21568627450980393</v>
      </c>
      <c r="K89" s="96"/>
      <c r="L89" s="96"/>
      <c r="M89" s="165"/>
      <c r="Q89" s="96"/>
      <c r="R89" s="109"/>
      <c r="Z89" s="96"/>
      <c r="AA89" s="96"/>
      <c r="AB89" s="96"/>
      <c r="AC89" s="96"/>
      <c r="AD89" s="96"/>
      <c r="AE89" s="96"/>
      <c r="AF89" s="96"/>
      <c r="AG89" s="96"/>
      <c r="AH89" s="96"/>
    </row>
    <row r="90" spans="3:34" ht="13" x14ac:dyDescent="0.35">
      <c r="C90" s="292" t="s">
        <v>769</v>
      </c>
      <c r="D90" s="118">
        <f>50-D89</f>
        <v>36</v>
      </c>
      <c r="E90" s="164">
        <f t="shared" si="2"/>
        <v>0.72</v>
      </c>
      <c r="F90" s="118">
        <f>51-F89</f>
        <v>40</v>
      </c>
      <c r="G90" s="164">
        <f t="shared" si="3"/>
        <v>0.78431372549019607</v>
      </c>
      <c r="K90" s="96"/>
      <c r="L90" s="96"/>
      <c r="M90" s="165"/>
      <c r="Q90" s="96"/>
      <c r="R90" s="109"/>
      <c r="Z90" s="96"/>
      <c r="AA90" s="96"/>
      <c r="AB90" s="96"/>
      <c r="AC90" s="96"/>
      <c r="AD90" s="96"/>
      <c r="AE90" s="96"/>
      <c r="AF90" s="96"/>
      <c r="AG90" s="96"/>
      <c r="AH90" s="96"/>
    </row>
    <row r="91" spans="3:34" ht="13" x14ac:dyDescent="0.35">
      <c r="C91" s="466" t="s">
        <v>322</v>
      </c>
      <c r="D91" s="467"/>
      <c r="E91" s="467"/>
      <c r="F91" s="467"/>
      <c r="G91" s="468"/>
      <c r="I91" s="167"/>
      <c r="K91" s="96"/>
      <c r="L91" s="96"/>
      <c r="M91" s="163"/>
      <c r="Q91" s="96"/>
      <c r="R91" s="109"/>
      <c r="Z91" s="96"/>
      <c r="AA91" s="96"/>
      <c r="AB91" s="96"/>
      <c r="AC91" s="96"/>
      <c r="AD91" s="96"/>
      <c r="AE91" s="96"/>
      <c r="AF91" s="96"/>
      <c r="AG91" s="96"/>
      <c r="AH91" s="96"/>
    </row>
    <row r="92" spans="3:34" x14ac:dyDescent="0.35">
      <c r="C92" s="94" t="s">
        <v>307</v>
      </c>
      <c r="D92" s="69">
        <f>COUNTIFS($D$5:$D$54, "&gt;=6", $G$5:$G$54, "&lt;110")</f>
        <v>8</v>
      </c>
      <c r="E92" s="164">
        <f>D92/50</f>
        <v>0.16</v>
      </c>
      <c r="F92" s="69">
        <f>COUNTIFS($Q$5:$Q$55, "&gt;=6", $T$5:$T$55, "&lt;110")</f>
        <v>5</v>
      </c>
      <c r="G92" s="164">
        <f>F92/51</f>
        <v>9.8039215686274508E-2</v>
      </c>
      <c r="K92" s="96"/>
      <c r="L92" s="96"/>
      <c r="M92" s="165"/>
      <c r="Q92" s="96"/>
      <c r="R92" s="109"/>
      <c r="Z92" s="96"/>
      <c r="AA92" s="96"/>
      <c r="AB92" s="96"/>
      <c r="AC92" s="96"/>
      <c r="AD92" s="96"/>
      <c r="AE92" s="96"/>
      <c r="AF92" s="96"/>
      <c r="AG92" s="96"/>
      <c r="AH92" s="96"/>
    </row>
    <row r="93" spans="3:34" x14ac:dyDescent="0.35">
      <c r="C93" s="94" t="s">
        <v>308</v>
      </c>
      <c r="D93" s="69">
        <f>COUNTIFS($D$5:$D$54, "&gt;=6", $G$5:$G$54, "&gt;=110")</f>
        <v>15</v>
      </c>
      <c r="E93" s="164">
        <f>D93/50</f>
        <v>0.3</v>
      </c>
      <c r="F93" s="69">
        <f>COUNTIFS($Q$5:$Q$55, "&gt;=6", $T$5:$T$55, "&gt;=110")</f>
        <v>16</v>
      </c>
      <c r="G93" s="164">
        <f>F93/51</f>
        <v>0.31372549019607843</v>
      </c>
      <c r="K93" s="96"/>
      <c r="L93" s="96"/>
      <c r="M93" s="165"/>
      <c r="Q93" s="96"/>
      <c r="R93" s="109"/>
      <c r="Z93" s="96"/>
      <c r="AA93" s="96"/>
      <c r="AB93" s="96"/>
      <c r="AC93" s="96"/>
      <c r="AD93" s="96"/>
      <c r="AE93" s="96"/>
      <c r="AF93" s="96"/>
      <c r="AG93" s="96"/>
      <c r="AH93" s="96"/>
    </row>
    <row r="94" spans="3:34" ht="13" x14ac:dyDescent="0.35">
      <c r="C94" s="115" t="s">
        <v>57</v>
      </c>
      <c r="D94" s="115"/>
      <c r="E94" s="166"/>
      <c r="F94" s="115"/>
      <c r="G94" s="166"/>
      <c r="I94" s="167"/>
      <c r="K94" s="96"/>
      <c r="L94" s="96"/>
      <c r="M94" s="163"/>
      <c r="Q94" s="96"/>
      <c r="R94" s="109"/>
      <c r="Z94" s="96"/>
      <c r="AA94" s="96"/>
      <c r="AB94" s="96"/>
      <c r="AC94" s="96"/>
      <c r="AD94" s="96"/>
      <c r="AE94" s="96"/>
      <c r="AF94" s="96"/>
      <c r="AG94" s="96"/>
      <c r="AH94" s="96"/>
    </row>
    <row r="95" spans="3:34" x14ac:dyDescent="0.35">
      <c r="C95" s="94" t="s">
        <v>317</v>
      </c>
      <c r="D95" s="118">
        <f>COUNTIFS($H$5:$H$54, "&lt;150")</f>
        <v>0</v>
      </c>
      <c r="E95" s="164">
        <f>D95/50</f>
        <v>0</v>
      </c>
      <c r="F95" s="81">
        <f>COUNTIFS($U$5:$U$55, "&lt;150")</f>
        <v>0</v>
      </c>
      <c r="G95" s="164">
        <f>F95/51</f>
        <v>0</v>
      </c>
      <c r="K95" s="96"/>
      <c r="L95" s="96"/>
      <c r="M95" s="165"/>
      <c r="Q95" s="96"/>
      <c r="R95" s="109"/>
      <c r="Z95" s="96"/>
      <c r="AA95" s="96"/>
      <c r="AB95" s="96"/>
      <c r="AC95" s="96"/>
      <c r="AD95" s="96"/>
      <c r="AE95" s="96"/>
      <c r="AF95" s="96"/>
      <c r="AG95" s="96"/>
      <c r="AH95" s="96"/>
    </row>
    <row r="96" spans="3:34" x14ac:dyDescent="0.35">
      <c r="C96" s="94" t="s">
        <v>316</v>
      </c>
      <c r="D96" s="118">
        <f>COUNTIFS($H$5:$H$54, "&gt; 450")</f>
        <v>16</v>
      </c>
      <c r="E96" s="164">
        <f>D96/50</f>
        <v>0.32</v>
      </c>
      <c r="F96" s="81">
        <f>COUNTIFS($U$5:$U$55, "&gt;450")</f>
        <v>19</v>
      </c>
      <c r="G96" s="164">
        <f>F96/51</f>
        <v>0.37254901960784315</v>
      </c>
      <c r="K96" s="96"/>
      <c r="L96" s="96"/>
      <c r="M96" s="165"/>
      <c r="Q96" s="96"/>
      <c r="R96" s="109"/>
      <c r="Z96" s="96"/>
      <c r="AA96" s="96"/>
      <c r="AB96" s="96"/>
      <c r="AC96" s="96"/>
      <c r="AD96" s="96"/>
      <c r="AE96" s="96"/>
      <c r="AF96" s="96"/>
      <c r="AG96" s="96"/>
      <c r="AH96" s="96"/>
    </row>
    <row r="97" spans="3:34" x14ac:dyDescent="0.35">
      <c r="C97" s="94" t="s">
        <v>323</v>
      </c>
      <c r="D97" s="160">
        <f>50-D95-D96</f>
        <v>34</v>
      </c>
      <c r="E97" s="164">
        <f>D97/50</f>
        <v>0.68</v>
      </c>
      <c r="F97" s="69">
        <f>51-F95-F96</f>
        <v>32</v>
      </c>
      <c r="G97" s="164">
        <f>F97/51</f>
        <v>0.62745098039215685</v>
      </c>
      <c r="K97" s="96"/>
      <c r="L97" s="96"/>
      <c r="M97" s="165"/>
      <c r="Q97" s="96"/>
      <c r="R97" s="109"/>
      <c r="Z97" s="96"/>
      <c r="AA97" s="96"/>
      <c r="AB97" s="96"/>
      <c r="AC97" s="96"/>
      <c r="AD97" s="96"/>
      <c r="AE97" s="96"/>
      <c r="AF97" s="96"/>
      <c r="AG97" s="96"/>
      <c r="AH97" s="96"/>
    </row>
    <row r="98" spans="3:34" ht="13" x14ac:dyDescent="0.35">
      <c r="C98" s="115" t="s">
        <v>1</v>
      </c>
      <c r="D98" s="115"/>
      <c r="E98" s="166"/>
      <c r="F98" s="115"/>
      <c r="G98" s="166"/>
      <c r="I98" s="167"/>
      <c r="K98" s="96"/>
      <c r="L98" s="96"/>
      <c r="M98" s="163"/>
      <c r="Q98" s="96"/>
      <c r="R98" s="109"/>
      <c r="Z98" s="96"/>
      <c r="AA98" s="96"/>
      <c r="AB98" s="96"/>
      <c r="AC98" s="96"/>
      <c r="AD98" s="96"/>
      <c r="AE98" s="96"/>
      <c r="AF98" s="96"/>
      <c r="AG98" s="96"/>
      <c r="AH98" s="96"/>
    </row>
    <row r="99" spans="3:34" x14ac:dyDescent="0.35">
      <c r="C99" s="94" t="s">
        <v>452</v>
      </c>
      <c r="D99" s="118">
        <f>COUNTIFS(I4:I54,"&lt;40")</f>
        <v>36</v>
      </c>
      <c r="E99" s="168">
        <f>D99/$D$101</f>
        <v>0.72</v>
      </c>
      <c r="F99" s="81">
        <f>COUNTIFS($V$5:$V$55, "&lt;40")</f>
        <v>43</v>
      </c>
      <c r="G99" s="164">
        <f>F99/51</f>
        <v>0.84313725490196079</v>
      </c>
      <c r="I99" s="169"/>
      <c r="K99" s="96"/>
      <c r="L99" s="96"/>
      <c r="M99" s="170"/>
      <c r="P99" s="107"/>
      <c r="R99" s="109"/>
      <c r="Z99" s="96"/>
      <c r="AA99" s="96"/>
      <c r="AB99" s="96"/>
      <c r="AC99" s="96"/>
      <c r="AD99" s="96"/>
      <c r="AE99" s="96"/>
      <c r="AF99" s="96"/>
      <c r="AG99" s="96"/>
      <c r="AH99" s="96"/>
    </row>
    <row r="100" spans="3:34" ht="13" x14ac:dyDescent="0.35">
      <c r="C100" s="94" t="s">
        <v>453</v>
      </c>
      <c r="D100" s="118">
        <f>COUNTIFS(I5:I54,"&gt;=40")</f>
        <v>14</v>
      </c>
      <c r="E100" s="168">
        <f>D100/$D$101</f>
        <v>0.28000000000000003</v>
      </c>
      <c r="F100" s="81">
        <f>COUNTIFS($V$5:$V$55, "&gt;=40")</f>
        <v>8</v>
      </c>
      <c r="G100" s="164">
        <f>F100/51</f>
        <v>0.15686274509803921</v>
      </c>
      <c r="I100" s="169"/>
      <c r="K100" s="96"/>
      <c r="L100" s="96"/>
      <c r="M100" s="170"/>
      <c r="P100" s="107"/>
      <c r="R100" s="109"/>
      <c r="Z100" s="96"/>
      <c r="AA100" s="96"/>
      <c r="AB100" s="96"/>
      <c r="AC100" s="96"/>
      <c r="AD100" s="96"/>
      <c r="AE100" s="96"/>
      <c r="AF100" s="96"/>
      <c r="AG100" s="96"/>
      <c r="AH100" s="96"/>
    </row>
    <row r="101" spans="3:34" x14ac:dyDescent="0.35">
      <c r="C101" s="94" t="s">
        <v>14</v>
      </c>
      <c r="D101" s="118">
        <f>SUM(D99:D100)</f>
        <v>50</v>
      </c>
      <c r="E101" s="168">
        <f>D101/$D$101</f>
        <v>1</v>
      </c>
      <c r="F101" s="81">
        <f>SUM(F99:F100)</f>
        <v>51</v>
      </c>
      <c r="G101" s="168">
        <f ca="1">F101/$G$101</f>
        <v>1</v>
      </c>
      <c r="I101" s="169"/>
      <c r="K101" s="96"/>
      <c r="L101" s="96"/>
      <c r="M101" s="170"/>
      <c r="P101" s="107"/>
      <c r="R101" s="109"/>
      <c r="Z101" s="96"/>
      <c r="AA101" s="96"/>
      <c r="AB101" s="96"/>
      <c r="AC101" s="96"/>
      <c r="AD101" s="96"/>
      <c r="AE101" s="96"/>
      <c r="AF101" s="96"/>
      <c r="AG101" s="96"/>
      <c r="AH101" s="96"/>
    </row>
    <row r="102" spans="3:34" ht="13" x14ac:dyDescent="0.35">
      <c r="C102" s="113" t="s">
        <v>15</v>
      </c>
      <c r="D102" s="69">
        <f>SUM(D103:D110)</f>
        <v>50</v>
      </c>
      <c r="E102" s="164">
        <f>D102/50</f>
        <v>1</v>
      </c>
      <c r="F102" s="69">
        <f>SUM(F103:F110)</f>
        <v>51</v>
      </c>
      <c r="G102" s="164">
        <f>F102/51</f>
        <v>1</v>
      </c>
      <c r="K102" s="96"/>
      <c r="L102" s="96"/>
      <c r="M102" s="165"/>
      <c r="P102" s="107"/>
      <c r="R102" s="109"/>
      <c r="Z102" s="96"/>
      <c r="AA102" s="96"/>
      <c r="AB102" s="96"/>
      <c r="AC102" s="96"/>
      <c r="AD102" s="96"/>
      <c r="AE102" s="96"/>
      <c r="AF102" s="96"/>
      <c r="AG102" s="96"/>
      <c r="AH102" s="96"/>
    </row>
    <row r="103" spans="3:34" ht="13" x14ac:dyDescent="0.35">
      <c r="C103" s="171" t="s">
        <v>291</v>
      </c>
      <c r="D103" s="81">
        <f>COUNTIF($J$5:$J$54, "HI")</f>
        <v>33</v>
      </c>
      <c r="E103" s="164">
        <f t="shared" ref="E103:E119" si="4">D103/50</f>
        <v>0.66</v>
      </c>
      <c r="F103" s="81">
        <f>COUNTIF($W$5:$W$55, "HI")</f>
        <v>25</v>
      </c>
      <c r="G103" s="164">
        <f t="shared" ref="G103:G118" si="5">F103/51</f>
        <v>0.49019607843137253</v>
      </c>
      <c r="K103" s="96"/>
      <c r="L103" s="96"/>
      <c r="M103" s="165"/>
      <c r="P103" s="107"/>
      <c r="R103" s="109"/>
      <c r="W103" s="119"/>
      <c r="Z103" s="96"/>
      <c r="AA103" s="96"/>
      <c r="AB103" s="96"/>
      <c r="AC103" s="96"/>
      <c r="AD103" s="96"/>
      <c r="AE103" s="96"/>
      <c r="AF103" s="96"/>
      <c r="AG103" s="96"/>
      <c r="AH103" s="96"/>
    </row>
    <row r="104" spans="3:34" ht="13" x14ac:dyDescent="0.35">
      <c r="C104" s="171" t="s">
        <v>292</v>
      </c>
      <c r="D104" s="81">
        <f>COUNTIF($J$5:$J$54, "SP")</f>
        <v>5</v>
      </c>
      <c r="E104" s="164">
        <f t="shared" si="4"/>
        <v>0.1</v>
      </c>
      <c r="F104" s="81">
        <f>COUNTIF($W$5:$W$55, "SP")</f>
        <v>11</v>
      </c>
      <c r="G104" s="164">
        <f t="shared" si="5"/>
        <v>0.21568627450980393</v>
      </c>
      <c r="K104" s="96"/>
      <c r="L104" s="96"/>
      <c r="M104" s="165"/>
      <c r="P104" s="107"/>
      <c r="R104" s="109"/>
      <c r="W104" s="119"/>
      <c r="Z104" s="96"/>
      <c r="AA104" s="96"/>
      <c r="AB104" s="96"/>
      <c r="AC104" s="96"/>
      <c r="AD104" s="96"/>
      <c r="AE104" s="96"/>
      <c r="AF104" s="96"/>
      <c r="AG104" s="96"/>
      <c r="AH104" s="96"/>
    </row>
    <row r="105" spans="3:34" ht="13" x14ac:dyDescent="0.35">
      <c r="C105" s="171" t="s">
        <v>294</v>
      </c>
      <c r="D105" s="81">
        <f>COUNTIF($J$5:$J$54, "MP")</f>
        <v>2</v>
      </c>
      <c r="E105" s="164">
        <f t="shared" si="4"/>
        <v>0.04</v>
      </c>
      <c r="F105" s="81">
        <f>COUNTIF($W$5:$W$55, "MP")</f>
        <v>1</v>
      </c>
      <c r="G105" s="164">
        <f t="shared" si="5"/>
        <v>1.9607843137254902E-2</v>
      </c>
      <c r="K105" s="96"/>
      <c r="L105" s="96"/>
      <c r="M105" s="165"/>
      <c r="P105" s="107"/>
      <c r="R105" s="109"/>
      <c r="W105" s="119"/>
      <c r="Z105" s="96"/>
      <c r="AA105" s="96"/>
      <c r="AB105" s="96"/>
      <c r="AC105" s="96"/>
      <c r="AD105" s="96"/>
      <c r="AE105" s="96"/>
      <c r="AF105" s="96"/>
      <c r="AG105" s="96"/>
      <c r="AH105" s="96"/>
    </row>
    <row r="106" spans="3:34" ht="13" x14ac:dyDescent="0.35">
      <c r="C106" s="171" t="s">
        <v>293</v>
      </c>
      <c r="D106" s="81">
        <f>COUNTIF($J$5:$J$54, "BP")</f>
        <v>0</v>
      </c>
      <c r="E106" s="164">
        <f t="shared" si="4"/>
        <v>0</v>
      </c>
      <c r="F106" s="81">
        <f>COUNTIF($W$5:$W$564, "BP")</f>
        <v>1</v>
      </c>
      <c r="G106" s="164">
        <f t="shared" si="5"/>
        <v>1.9607843137254902E-2</v>
      </c>
      <c r="K106" s="96"/>
      <c r="L106" s="96"/>
      <c r="M106" s="165"/>
      <c r="P106" s="107"/>
      <c r="R106" s="109"/>
      <c r="W106" s="119"/>
      <c r="Z106" s="96"/>
      <c r="AA106" s="96"/>
      <c r="AB106" s="96"/>
      <c r="AC106" s="96"/>
      <c r="AD106" s="96"/>
      <c r="AE106" s="96"/>
      <c r="AF106" s="96"/>
      <c r="AG106" s="96"/>
      <c r="AH106" s="96"/>
    </row>
    <row r="107" spans="3:34" ht="26" x14ac:dyDescent="0.35">
      <c r="C107" s="171" t="s">
        <v>295</v>
      </c>
      <c r="D107" s="81">
        <f>COUNTIF($J$5:$J$54, "HI + SP")</f>
        <v>7</v>
      </c>
      <c r="E107" s="164">
        <f t="shared" si="4"/>
        <v>0.14000000000000001</v>
      </c>
      <c r="F107" s="81">
        <f>COUNTIF($W$5:$W$55, "HI + SP")</f>
        <v>13</v>
      </c>
      <c r="G107" s="164">
        <f t="shared" si="5"/>
        <v>0.25490196078431371</v>
      </c>
      <c r="K107" s="96"/>
      <c r="L107" s="96"/>
      <c r="M107" s="165"/>
      <c r="P107" s="107"/>
      <c r="R107" s="109"/>
      <c r="W107" s="119"/>
      <c r="Z107" s="96"/>
      <c r="AA107" s="96"/>
      <c r="AB107" s="96"/>
      <c r="AC107" s="96"/>
      <c r="AD107" s="96"/>
      <c r="AE107" s="96"/>
      <c r="AF107" s="96"/>
      <c r="AG107" s="96"/>
      <c r="AH107" s="96"/>
    </row>
    <row r="108" spans="3:34" ht="26" x14ac:dyDescent="0.35">
      <c r="C108" s="171" t="s">
        <v>296</v>
      </c>
      <c r="D108" s="81">
        <f>COUNTIF($J$5:$J$54, "HI + BP")</f>
        <v>1</v>
      </c>
      <c r="E108" s="164">
        <f t="shared" si="4"/>
        <v>0.02</v>
      </c>
      <c r="F108" s="81">
        <f>COUNTIF($W$5:$W$55, "HI + BP")</f>
        <v>0</v>
      </c>
      <c r="G108" s="164">
        <f t="shared" si="5"/>
        <v>0</v>
      </c>
      <c r="K108" s="96"/>
      <c r="L108" s="96"/>
      <c r="M108" s="165"/>
      <c r="P108" s="107"/>
      <c r="R108" s="109"/>
      <c r="W108" s="119"/>
      <c r="Z108" s="96"/>
      <c r="AA108" s="96"/>
      <c r="AB108" s="96"/>
      <c r="AC108" s="96"/>
      <c r="AD108" s="96"/>
      <c r="AE108" s="96"/>
      <c r="AF108" s="96"/>
      <c r="AG108" s="96"/>
      <c r="AH108" s="96"/>
    </row>
    <row r="109" spans="3:34" ht="26" x14ac:dyDescent="0.35">
      <c r="C109" s="171" t="s">
        <v>297</v>
      </c>
      <c r="D109" s="81">
        <f>COUNTIF($J$5:$J$54, "SP + MP")</f>
        <v>1</v>
      </c>
      <c r="E109" s="164">
        <f t="shared" si="4"/>
        <v>0.02</v>
      </c>
      <c r="F109" s="81">
        <f>COUNTIF($W$5:$W$55, "SP + MP")</f>
        <v>0</v>
      </c>
      <c r="G109" s="164">
        <f t="shared" si="5"/>
        <v>0</v>
      </c>
      <c r="K109" s="96"/>
      <c r="L109" s="96"/>
      <c r="M109" s="165"/>
      <c r="P109" s="107"/>
      <c r="R109" s="109"/>
      <c r="W109" s="119"/>
      <c r="Z109" s="96"/>
      <c r="AA109" s="96"/>
      <c r="AB109" s="96"/>
      <c r="AC109" s="96"/>
      <c r="AD109" s="96"/>
      <c r="AE109" s="96"/>
      <c r="AF109" s="96"/>
      <c r="AG109" s="96"/>
      <c r="AH109" s="96"/>
    </row>
    <row r="110" spans="3:34" ht="39" x14ac:dyDescent="0.35">
      <c r="C110" s="171" t="s">
        <v>298</v>
      </c>
      <c r="D110" s="81">
        <f>COUNTIF($J$5:$J$54, "HI + SP + MP")</f>
        <v>1</v>
      </c>
      <c r="E110" s="164">
        <f t="shared" si="4"/>
        <v>0.02</v>
      </c>
      <c r="F110" s="81">
        <f>COUNTIF($X$5:$X$55, "HI + SP + MP")</f>
        <v>0</v>
      </c>
      <c r="G110" s="164">
        <f t="shared" si="5"/>
        <v>0</v>
      </c>
      <c r="K110" s="109"/>
      <c r="L110" s="111"/>
      <c r="M110" s="165"/>
      <c r="P110" s="107"/>
      <c r="R110" s="109"/>
      <c r="W110" s="119"/>
      <c r="Z110" s="96"/>
      <c r="AA110" s="96"/>
      <c r="AB110" s="96"/>
      <c r="AC110" s="96"/>
      <c r="AD110" s="96"/>
      <c r="AE110" s="96"/>
      <c r="AF110" s="96"/>
      <c r="AG110" s="96"/>
      <c r="AH110" s="96"/>
    </row>
    <row r="111" spans="3:34" ht="13" x14ac:dyDescent="0.35">
      <c r="C111" s="413" t="s">
        <v>783</v>
      </c>
      <c r="D111" s="81">
        <f>SUM(D112:D118)</f>
        <v>33</v>
      </c>
      <c r="E111" s="164">
        <f t="shared" si="4"/>
        <v>0.66</v>
      </c>
      <c r="F111" s="81">
        <f>SUM(F112:F118)</f>
        <v>33</v>
      </c>
      <c r="G111" s="164">
        <f t="shared" si="5"/>
        <v>0.6470588235294118</v>
      </c>
      <c r="K111" s="109"/>
      <c r="M111" s="165"/>
      <c r="P111" s="107"/>
      <c r="R111" s="109"/>
      <c r="W111" s="119"/>
      <c r="Z111" s="96"/>
      <c r="AA111" s="96"/>
      <c r="AB111" s="96"/>
      <c r="AC111" s="96"/>
      <c r="AD111" s="96"/>
      <c r="AE111" s="96"/>
      <c r="AF111" s="96"/>
      <c r="AG111" s="96"/>
      <c r="AH111" s="96"/>
    </row>
    <row r="112" spans="3:34" ht="13" x14ac:dyDescent="0.35">
      <c r="C112" s="414" t="s">
        <v>446</v>
      </c>
      <c r="D112" s="138">
        <f>COUNTIF($K$5:$K$54,"HI")</f>
        <v>20</v>
      </c>
      <c r="E112" s="164">
        <f t="shared" si="4"/>
        <v>0.4</v>
      </c>
      <c r="F112" s="138">
        <f>COUNTIF($X$5:$X$55,"HI")</f>
        <v>17</v>
      </c>
      <c r="G112" s="164">
        <f t="shared" si="5"/>
        <v>0.33333333333333331</v>
      </c>
      <c r="K112" s="109"/>
      <c r="M112" s="165"/>
      <c r="P112" s="107"/>
      <c r="R112" s="109"/>
      <c r="W112" s="119"/>
      <c r="Z112" s="96"/>
      <c r="AA112" s="96"/>
      <c r="AB112" s="96"/>
      <c r="AC112" s="96"/>
      <c r="AD112" s="96"/>
      <c r="AE112" s="96"/>
      <c r="AF112" s="96"/>
      <c r="AG112" s="96"/>
      <c r="AH112" s="96"/>
    </row>
    <row r="113" spans="3:34" ht="13" x14ac:dyDescent="0.3">
      <c r="C113" s="415" t="s">
        <v>785</v>
      </c>
      <c r="D113" s="138">
        <f>COUNTIF($K$5:$K$54,"SP")</f>
        <v>4</v>
      </c>
      <c r="E113" s="164">
        <f t="shared" si="4"/>
        <v>0.08</v>
      </c>
      <c r="F113" s="138">
        <f>COUNTIF($X$5:$X$55,"SP")</f>
        <v>6</v>
      </c>
      <c r="G113" s="164">
        <f t="shared" si="5"/>
        <v>0.11764705882352941</v>
      </c>
      <c r="K113" s="109"/>
      <c r="M113" s="165"/>
      <c r="P113" s="107"/>
      <c r="R113" s="109"/>
      <c r="W113" s="119"/>
      <c r="Z113" s="96"/>
      <c r="AA113" s="96"/>
      <c r="AB113" s="96"/>
      <c r="AC113" s="96"/>
      <c r="AD113" s="96"/>
      <c r="AE113" s="96"/>
      <c r="AF113" s="96"/>
      <c r="AG113" s="96"/>
      <c r="AH113" s="96"/>
    </row>
    <row r="114" spans="3:34" ht="13" x14ac:dyDescent="0.35">
      <c r="C114" s="414" t="s">
        <v>784</v>
      </c>
      <c r="D114" s="138">
        <f>COUNTIF($K$5:$K$54,"M. catarrhalis")</f>
        <v>5</v>
      </c>
      <c r="E114" s="164">
        <f t="shared" si="4"/>
        <v>0.1</v>
      </c>
      <c r="F114" s="138">
        <f>COUNTIF($X$5:$X$55," M. catarrhalis")</f>
        <v>4</v>
      </c>
      <c r="G114" s="164">
        <f t="shared" si="5"/>
        <v>7.8431372549019607E-2</v>
      </c>
      <c r="K114" s="109"/>
      <c r="M114" s="165"/>
      <c r="P114" s="107"/>
      <c r="R114" s="109"/>
      <c r="W114" s="119"/>
      <c r="Z114" s="96"/>
      <c r="AA114" s="96"/>
      <c r="AB114" s="96"/>
      <c r="AC114" s="96"/>
      <c r="AD114" s="96"/>
      <c r="AE114" s="96"/>
      <c r="AF114" s="96"/>
      <c r="AG114" s="96"/>
      <c r="AH114" s="96"/>
    </row>
    <row r="115" spans="3:34" ht="13" x14ac:dyDescent="0.3">
      <c r="C115" s="416" t="s">
        <v>270</v>
      </c>
      <c r="D115" s="138">
        <f>COUNTIF($K$5:$K$54,"S. aureus")</f>
        <v>1</v>
      </c>
      <c r="E115" s="164">
        <f t="shared" si="4"/>
        <v>0.02</v>
      </c>
      <c r="F115" s="138">
        <f>COUNTIF($X$5:$X$55,"S. aureus")</f>
        <v>2</v>
      </c>
      <c r="G115" s="164">
        <f t="shared" si="5"/>
        <v>3.9215686274509803E-2</v>
      </c>
      <c r="K115" s="109"/>
      <c r="M115" s="165"/>
      <c r="P115" s="107"/>
      <c r="R115" s="109"/>
      <c r="W115" s="119"/>
      <c r="Z115" s="96"/>
      <c r="AA115" s="96"/>
      <c r="AB115" s="96"/>
      <c r="AC115" s="96"/>
      <c r="AD115" s="96"/>
      <c r="AE115" s="96"/>
      <c r="AF115" s="96"/>
      <c r="AG115" s="96"/>
      <c r="AH115" s="96"/>
    </row>
    <row r="116" spans="3:34" ht="13" x14ac:dyDescent="0.35">
      <c r="C116" s="417" t="s">
        <v>269</v>
      </c>
      <c r="D116" s="138">
        <f>COUNTIF($K$5:$K$54,"P. aeruginosa")</f>
        <v>1</v>
      </c>
      <c r="E116" s="164">
        <f t="shared" si="4"/>
        <v>0.02</v>
      </c>
      <c r="F116" s="138">
        <f>COUNTIF($X$5:$X$55,"P. aeruginosa")</f>
        <v>1</v>
      </c>
      <c r="G116" s="164">
        <f t="shared" si="5"/>
        <v>1.9607843137254902E-2</v>
      </c>
      <c r="K116" s="109"/>
      <c r="M116" s="165"/>
      <c r="P116" s="107"/>
      <c r="R116" s="109"/>
      <c r="W116" s="119"/>
      <c r="Z116" s="96"/>
      <c r="AA116" s="96"/>
      <c r="AB116" s="96"/>
      <c r="AC116" s="96"/>
      <c r="AD116" s="96"/>
      <c r="AE116" s="96"/>
      <c r="AF116" s="96"/>
      <c r="AG116" s="96"/>
      <c r="AH116" s="96"/>
    </row>
    <row r="117" spans="3:34" ht="13" x14ac:dyDescent="0.35">
      <c r="C117" s="143" t="s">
        <v>8</v>
      </c>
      <c r="D117" s="138">
        <f>COUNTIF($K$5:$K$54,"HI + SP")</f>
        <v>2</v>
      </c>
      <c r="E117" s="164">
        <f t="shared" si="4"/>
        <v>0.04</v>
      </c>
      <c r="F117" s="138">
        <f>COUNTIF($X$5:$X$55,"HI + SP")</f>
        <v>1</v>
      </c>
      <c r="G117" s="164">
        <f t="shared" si="5"/>
        <v>1.9607843137254902E-2</v>
      </c>
      <c r="K117" s="109"/>
      <c r="M117" s="165"/>
      <c r="P117" s="107"/>
      <c r="R117" s="109"/>
      <c r="W117" s="119"/>
      <c r="Z117" s="96"/>
      <c r="AA117" s="96"/>
      <c r="AB117" s="96"/>
      <c r="AC117" s="96"/>
      <c r="AD117" s="96"/>
      <c r="AE117" s="96"/>
      <c r="AF117" s="96"/>
      <c r="AG117" s="96"/>
      <c r="AH117" s="96"/>
    </row>
    <row r="118" spans="3:34" ht="13" x14ac:dyDescent="0.3">
      <c r="C118" s="416" t="s">
        <v>271</v>
      </c>
      <c r="D118" s="138">
        <f>COUNTIF($K$5:$K$54,"HI + MC")</f>
        <v>0</v>
      </c>
      <c r="E118" s="164">
        <f t="shared" si="4"/>
        <v>0</v>
      </c>
      <c r="F118" s="138">
        <f>COUNTIF($X$5:$X$55,"HI + MC")</f>
        <v>2</v>
      </c>
      <c r="G118" s="164">
        <f t="shared" si="5"/>
        <v>3.9215686274509803E-2</v>
      </c>
      <c r="K118" s="109"/>
      <c r="M118" s="165"/>
      <c r="P118" s="107"/>
      <c r="R118" s="109"/>
      <c r="W118" s="119"/>
      <c r="Z118" s="96"/>
      <c r="AA118" s="96"/>
      <c r="AB118" s="96"/>
      <c r="AC118" s="96"/>
      <c r="AD118" s="96"/>
      <c r="AE118" s="96"/>
      <c r="AF118" s="96"/>
      <c r="AG118" s="96"/>
      <c r="AH118" s="96"/>
    </row>
    <row r="119" spans="3:34" ht="13" x14ac:dyDescent="0.35">
      <c r="C119" s="115" t="s">
        <v>786</v>
      </c>
      <c r="D119" s="69">
        <f>SUM(D120:D124)</f>
        <v>50</v>
      </c>
      <c r="E119" s="164">
        <f t="shared" si="4"/>
        <v>1</v>
      </c>
      <c r="F119" s="69">
        <f>SUM(F120:F124)</f>
        <v>51</v>
      </c>
      <c r="G119" s="164">
        <f t="shared" ref="G119:G124" si="6">F119/51</f>
        <v>1</v>
      </c>
      <c r="I119" s="167"/>
      <c r="K119" s="109"/>
      <c r="L119" s="121"/>
      <c r="M119" s="163"/>
      <c r="P119" s="107"/>
      <c r="R119" s="169"/>
      <c r="S119" s="169"/>
      <c r="T119" s="172"/>
      <c r="U119" s="172"/>
      <c r="V119" s="169"/>
      <c r="W119" s="119"/>
      <c r="Z119" s="96"/>
      <c r="AA119" s="96"/>
      <c r="AB119" s="96"/>
      <c r="AC119" s="96"/>
      <c r="AD119" s="96"/>
      <c r="AE119" s="96"/>
      <c r="AF119" s="96"/>
      <c r="AG119" s="96"/>
      <c r="AH119" s="96"/>
    </row>
    <row r="120" spans="3:34" x14ac:dyDescent="0.25">
      <c r="C120" s="14" t="s">
        <v>300</v>
      </c>
      <c r="D120" s="81">
        <f>COUNTIF($L$5:$L$54, "0")</f>
        <v>1</v>
      </c>
      <c r="E120" s="164">
        <f t="shared" ref="E120:E124" si="7">D120/50</f>
        <v>0.02</v>
      </c>
      <c r="F120" s="81">
        <f>COUNTIF($Y$5:$Y$55, "0")</f>
        <v>1</v>
      </c>
      <c r="G120" s="164">
        <f t="shared" si="6"/>
        <v>1.9607843137254902E-2</v>
      </c>
      <c r="K120" s="109"/>
      <c r="L120" s="121"/>
      <c r="M120" s="96"/>
      <c r="P120" s="107"/>
      <c r="R120" s="169"/>
      <c r="S120" s="169"/>
      <c r="T120" s="172"/>
      <c r="U120" s="172"/>
      <c r="V120" s="169"/>
      <c r="W120" s="119"/>
      <c r="Z120" s="96"/>
      <c r="AA120" s="96"/>
      <c r="AB120" s="96"/>
      <c r="AC120" s="96"/>
      <c r="AD120" s="96"/>
      <c r="AE120" s="96"/>
      <c r="AF120" s="96"/>
      <c r="AG120" s="96"/>
      <c r="AH120" s="96"/>
    </row>
    <row r="121" spans="3:34" x14ac:dyDescent="0.25">
      <c r="C121" s="14" t="s">
        <v>777</v>
      </c>
      <c r="D121" s="81">
        <f>COUNTIF($L$5:$L$54, "1")</f>
        <v>39</v>
      </c>
      <c r="E121" s="164">
        <f t="shared" si="7"/>
        <v>0.78</v>
      </c>
      <c r="F121" s="81">
        <f>COUNTIF($Y$5:$Y$55, "1")</f>
        <v>37</v>
      </c>
      <c r="G121" s="164">
        <f t="shared" si="6"/>
        <v>0.72549019607843135</v>
      </c>
      <c r="K121" s="109"/>
      <c r="L121" s="121"/>
      <c r="M121" s="96"/>
      <c r="P121" s="107"/>
      <c r="R121" s="169"/>
      <c r="S121" s="169"/>
      <c r="T121" s="172"/>
      <c r="U121" s="172"/>
      <c r="V121" s="169"/>
      <c r="W121" s="119"/>
      <c r="Z121" s="96"/>
      <c r="AA121" s="96"/>
      <c r="AB121" s="96"/>
      <c r="AC121" s="96"/>
      <c r="AD121" s="96"/>
      <c r="AE121" s="96"/>
      <c r="AF121" s="96"/>
      <c r="AG121" s="96"/>
      <c r="AH121" s="96"/>
    </row>
    <row r="122" spans="3:34" x14ac:dyDescent="0.25">
      <c r="C122" s="14" t="s">
        <v>301</v>
      </c>
      <c r="D122" s="81">
        <f>COUNTIF($L$5:$L$54, "4")</f>
        <v>2</v>
      </c>
      <c r="E122" s="164">
        <f t="shared" si="7"/>
        <v>0.04</v>
      </c>
      <c r="F122" s="81">
        <f>COUNTIF($Y$5:$Y$55, "4")</f>
        <v>3</v>
      </c>
      <c r="G122" s="164">
        <f t="shared" si="6"/>
        <v>5.8823529411764705E-2</v>
      </c>
      <c r="K122" s="109"/>
      <c r="L122" s="121"/>
      <c r="M122" s="96"/>
      <c r="P122" s="107"/>
      <c r="R122" s="169"/>
      <c r="S122" s="169"/>
      <c r="T122" s="172"/>
      <c r="U122" s="172"/>
      <c r="V122" s="169"/>
      <c r="W122" s="119"/>
      <c r="Z122" s="96"/>
      <c r="AA122" s="96"/>
      <c r="AB122" s="96"/>
      <c r="AC122" s="96"/>
      <c r="AD122" s="96"/>
      <c r="AE122" s="96"/>
      <c r="AF122" s="96"/>
      <c r="AG122" s="96"/>
      <c r="AH122" s="96"/>
    </row>
    <row r="123" spans="3:34" x14ac:dyDescent="0.25">
      <c r="C123" s="14" t="s">
        <v>302</v>
      </c>
      <c r="D123" s="81">
        <f>COUNTIF($L$5:$L$54, "7")</f>
        <v>3</v>
      </c>
      <c r="E123" s="164">
        <f t="shared" si="7"/>
        <v>0.06</v>
      </c>
      <c r="F123" s="81">
        <f>COUNTIF($Y$5:$Y$55, "7")</f>
        <v>3</v>
      </c>
      <c r="G123" s="164">
        <f t="shared" si="6"/>
        <v>5.8823529411764705E-2</v>
      </c>
      <c r="K123" s="109"/>
      <c r="L123" s="121"/>
      <c r="M123" s="96"/>
      <c r="P123" s="107"/>
      <c r="R123" s="169"/>
      <c r="S123" s="169"/>
      <c r="T123" s="172"/>
      <c r="U123" s="172"/>
      <c r="V123" s="169"/>
      <c r="W123" s="119"/>
      <c r="Z123" s="96"/>
      <c r="AA123" s="96"/>
      <c r="AB123" s="96"/>
      <c r="AC123" s="96"/>
      <c r="AD123" s="96"/>
      <c r="AE123" s="96"/>
      <c r="AF123" s="96"/>
      <c r="AG123" s="96"/>
      <c r="AH123" s="96"/>
    </row>
    <row r="124" spans="3:34" x14ac:dyDescent="0.25">
      <c r="C124" s="14" t="s">
        <v>303</v>
      </c>
      <c r="D124" s="81">
        <f>COUNTIF($L$5:$L$54, "10")</f>
        <v>5</v>
      </c>
      <c r="E124" s="164">
        <f t="shared" si="7"/>
        <v>0.1</v>
      </c>
      <c r="F124" s="81">
        <f>COUNTIF($Y$5:$Y$55, "10")</f>
        <v>7</v>
      </c>
      <c r="G124" s="164">
        <f t="shared" si="6"/>
        <v>0.13725490196078433</v>
      </c>
      <c r="K124" s="109"/>
      <c r="L124" s="121"/>
      <c r="M124" s="96"/>
      <c r="P124" s="107"/>
      <c r="R124" s="169"/>
      <c r="S124" s="169"/>
      <c r="T124" s="172"/>
      <c r="U124" s="172"/>
      <c r="V124" s="169"/>
      <c r="W124" s="119"/>
      <c r="Z124" s="96"/>
      <c r="AA124" s="96"/>
      <c r="AB124" s="96"/>
      <c r="AC124" s="96"/>
      <c r="AD124" s="96"/>
      <c r="AE124" s="96"/>
      <c r="AF124" s="96"/>
      <c r="AG124" s="96"/>
      <c r="AH124" s="96"/>
    </row>
    <row r="125" spans="3:34" x14ac:dyDescent="0.35">
      <c r="C125" s="96"/>
      <c r="D125" s="96"/>
      <c r="M125" s="121"/>
      <c r="S125" s="169"/>
      <c r="T125" s="172"/>
      <c r="U125" s="172"/>
      <c r="V125" s="169"/>
      <c r="W125" s="119"/>
      <c r="X125" s="119"/>
      <c r="Z125" s="96"/>
      <c r="AA125" s="96"/>
      <c r="AB125" s="96"/>
      <c r="AC125" s="96"/>
      <c r="AD125" s="96"/>
      <c r="AE125" s="96"/>
      <c r="AF125" s="96"/>
      <c r="AG125" s="96"/>
      <c r="AH125" s="96"/>
    </row>
    <row r="126" spans="3:34" x14ac:dyDescent="0.35">
      <c r="C126" s="96"/>
      <c r="D126" s="96"/>
      <c r="M126" s="121"/>
      <c r="S126" s="169"/>
      <c r="T126" s="172"/>
      <c r="U126" s="172"/>
      <c r="V126" s="169"/>
      <c r="W126" s="119"/>
      <c r="X126" s="119"/>
      <c r="Z126" s="96"/>
      <c r="AA126" s="96"/>
      <c r="AB126" s="96"/>
      <c r="AC126" s="96"/>
      <c r="AD126" s="96"/>
      <c r="AE126" s="96"/>
      <c r="AF126" s="96"/>
      <c r="AG126" s="96"/>
      <c r="AH126" s="96"/>
    </row>
    <row r="127" spans="3:34" x14ac:dyDescent="0.35">
      <c r="C127" s="96"/>
      <c r="D127" s="96"/>
      <c r="M127" s="121"/>
      <c r="S127" s="169"/>
      <c r="T127" s="172"/>
      <c r="U127" s="172"/>
      <c r="V127" s="169"/>
      <c r="W127" s="119"/>
      <c r="X127" s="119"/>
      <c r="Z127" s="96"/>
      <c r="AA127" s="96"/>
      <c r="AB127" s="96"/>
      <c r="AC127" s="96"/>
      <c r="AD127" s="96"/>
      <c r="AE127" s="96"/>
      <c r="AF127" s="96"/>
      <c r="AG127" s="96"/>
      <c r="AH127" s="96"/>
    </row>
    <row r="128" spans="3:34" x14ac:dyDescent="0.35">
      <c r="C128" s="96"/>
      <c r="D128" s="96"/>
      <c r="M128" s="121"/>
      <c r="S128" s="169"/>
      <c r="T128" s="172"/>
      <c r="U128" s="172"/>
      <c r="V128" s="169"/>
      <c r="W128" s="119"/>
      <c r="X128" s="119"/>
      <c r="Z128" s="96"/>
      <c r="AA128" s="96"/>
      <c r="AB128" s="96"/>
      <c r="AC128" s="96"/>
      <c r="AD128" s="96"/>
      <c r="AE128" s="96"/>
      <c r="AF128" s="96"/>
      <c r="AG128" s="96"/>
      <c r="AH128" s="96"/>
    </row>
    <row r="129" spans="3:34" x14ac:dyDescent="0.35">
      <c r="C129" s="96"/>
      <c r="D129" s="96"/>
      <c r="M129" s="121"/>
      <c r="S129" s="169"/>
      <c r="T129" s="172"/>
      <c r="U129" s="172"/>
      <c r="V129" s="169"/>
      <c r="W129" s="119"/>
      <c r="X129" s="119"/>
      <c r="Z129" s="96"/>
      <c r="AA129" s="96"/>
      <c r="AB129" s="96"/>
      <c r="AC129" s="96"/>
      <c r="AD129" s="96"/>
      <c r="AE129" s="96"/>
      <c r="AF129" s="96"/>
      <c r="AG129" s="96"/>
      <c r="AH129" s="96"/>
    </row>
    <row r="130" spans="3:34" x14ac:dyDescent="0.35">
      <c r="C130" s="96"/>
      <c r="D130" s="96"/>
      <c r="M130" s="121"/>
      <c r="S130" s="169"/>
      <c r="T130" s="172"/>
      <c r="U130" s="172"/>
      <c r="V130" s="169"/>
      <c r="W130" s="119"/>
      <c r="X130" s="119"/>
      <c r="Z130" s="96"/>
      <c r="AA130" s="96"/>
      <c r="AB130" s="96"/>
      <c r="AC130" s="96"/>
      <c r="AD130" s="96"/>
      <c r="AE130" s="96"/>
      <c r="AF130" s="96"/>
      <c r="AG130" s="96"/>
      <c r="AH130" s="96"/>
    </row>
    <row r="131" spans="3:34" x14ac:dyDescent="0.35">
      <c r="M131" s="121"/>
      <c r="S131" s="169"/>
      <c r="T131" s="172"/>
      <c r="U131" s="172"/>
      <c r="V131" s="169"/>
      <c r="W131" s="119"/>
      <c r="X131" s="119"/>
      <c r="Z131" s="96"/>
      <c r="AA131" s="96"/>
      <c r="AB131" s="96"/>
      <c r="AC131" s="96"/>
      <c r="AD131" s="96"/>
      <c r="AE131" s="96"/>
      <c r="AF131" s="96"/>
      <c r="AG131" s="96"/>
      <c r="AH131" s="96"/>
    </row>
    <row r="132" spans="3:34" x14ac:dyDescent="0.35">
      <c r="M132" s="121"/>
      <c r="S132" s="169"/>
      <c r="T132" s="172"/>
      <c r="U132" s="172"/>
      <c r="V132" s="169"/>
      <c r="W132" s="119"/>
      <c r="X132" s="119"/>
      <c r="Z132" s="96"/>
      <c r="AA132" s="96"/>
      <c r="AB132" s="96"/>
      <c r="AC132" s="96"/>
      <c r="AD132" s="96"/>
      <c r="AE132" s="96"/>
      <c r="AF132" s="96"/>
      <c r="AG132" s="96"/>
      <c r="AH132" s="96"/>
    </row>
    <row r="133" spans="3:34" x14ac:dyDescent="0.35">
      <c r="M133" s="121"/>
      <c r="S133" s="169"/>
      <c r="T133" s="172"/>
      <c r="U133" s="172"/>
      <c r="V133" s="169"/>
      <c r="W133" s="119"/>
      <c r="X133" s="119"/>
      <c r="Z133" s="96"/>
      <c r="AA133" s="96"/>
      <c r="AB133" s="96"/>
      <c r="AC133" s="96"/>
      <c r="AD133" s="96"/>
      <c r="AE133" s="96"/>
      <c r="AF133" s="96"/>
      <c r="AG133" s="96"/>
      <c r="AH133" s="96"/>
    </row>
    <row r="134" spans="3:34" x14ac:dyDescent="0.35">
      <c r="M134" s="121"/>
      <c r="S134" s="169"/>
      <c r="T134" s="172"/>
      <c r="U134" s="172"/>
      <c r="V134" s="169"/>
      <c r="W134" s="119"/>
      <c r="X134" s="119"/>
      <c r="Z134" s="96"/>
      <c r="AA134" s="96"/>
      <c r="AB134" s="96"/>
      <c r="AC134" s="96"/>
      <c r="AD134" s="96"/>
      <c r="AE134" s="96"/>
      <c r="AF134" s="96"/>
      <c r="AG134" s="96"/>
      <c r="AH134" s="96"/>
    </row>
    <row r="135" spans="3:34" x14ac:dyDescent="0.35">
      <c r="M135" s="121"/>
      <c r="S135" s="169"/>
      <c r="T135" s="172"/>
      <c r="U135" s="172"/>
      <c r="V135" s="169"/>
      <c r="W135" s="119"/>
      <c r="X135" s="119"/>
      <c r="Z135" s="96"/>
      <c r="AA135" s="96"/>
      <c r="AB135" s="96"/>
      <c r="AC135" s="96"/>
      <c r="AD135" s="96"/>
      <c r="AE135" s="96"/>
      <c r="AF135" s="96"/>
      <c r="AG135" s="96"/>
      <c r="AH135" s="96"/>
    </row>
    <row r="136" spans="3:34" x14ac:dyDescent="0.35">
      <c r="M136" s="121"/>
      <c r="S136" s="169"/>
      <c r="T136" s="172"/>
      <c r="U136" s="172"/>
      <c r="V136" s="169"/>
      <c r="W136" s="119"/>
      <c r="X136" s="119"/>
      <c r="Z136" s="96"/>
      <c r="AA136" s="96"/>
      <c r="AB136" s="96"/>
      <c r="AC136" s="96"/>
      <c r="AD136" s="96"/>
      <c r="AE136" s="96"/>
      <c r="AF136" s="96"/>
      <c r="AG136" s="96"/>
      <c r="AH136" s="96"/>
    </row>
    <row r="137" spans="3:34" x14ac:dyDescent="0.35">
      <c r="M137" s="121"/>
      <c r="S137" s="169"/>
      <c r="T137" s="172"/>
      <c r="U137" s="172"/>
      <c r="V137" s="169"/>
      <c r="W137" s="119"/>
      <c r="X137" s="119"/>
      <c r="Z137" s="96"/>
      <c r="AA137" s="96"/>
      <c r="AB137" s="96"/>
      <c r="AC137" s="96"/>
      <c r="AD137" s="96"/>
      <c r="AE137" s="96"/>
      <c r="AF137" s="96"/>
      <c r="AG137" s="96"/>
      <c r="AH137" s="96"/>
    </row>
    <row r="138" spans="3:34" x14ac:dyDescent="0.35">
      <c r="M138" s="121"/>
      <c r="S138" s="169"/>
      <c r="T138" s="172"/>
      <c r="U138" s="172"/>
      <c r="V138" s="169"/>
      <c r="W138" s="119"/>
      <c r="X138" s="119"/>
      <c r="Z138" s="96"/>
      <c r="AA138" s="96"/>
      <c r="AB138" s="96"/>
      <c r="AC138" s="96"/>
      <c r="AD138" s="96"/>
      <c r="AE138" s="96"/>
      <c r="AF138" s="96"/>
      <c r="AG138" s="96"/>
      <c r="AH138" s="96"/>
    </row>
    <row r="139" spans="3:34" x14ac:dyDescent="0.35">
      <c r="M139" s="121"/>
      <c r="S139" s="169"/>
      <c r="T139" s="172"/>
      <c r="U139" s="172"/>
      <c r="V139" s="169"/>
      <c r="W139" s="119"/>
      <c r="X139" s="119"/>
      <c r="Z139" s="96"/>
      <c r="AA139" s="96"/>
      <c r="AB139" s="96"/>
      <c r="AC139" s="96"/>
      <c r="AD139" s="96"/>
      <c r="AE139" s="96"/>
      <c r="AF139" s="96"/>
      <c r="AG139" s="96"/>
      <c r="AH139" s="96"/>
    </row>
    <row r="140" spans="3:34" x14ac:dyDescent="0.35">
      <c r="M140" s="121"/>
      <c r="S140" s="169"/>
      <c r="T140" s="172"/>
      <c r="U140" s="172"/>
      <c r="V140" s="169"/>
      <c r="W140" s="119"/>
      <c r="X140" s="119"/>
      <c r="Z140" s="96"/>
      <c r="AA140" s="96"/>
      <c r="AB140" s="96"/>
      <c r="AC140" s="96"/>
      <c r="AD140" s="96"/>
      <c r="AE140" s="96"/>
      <c r="AF140" s="96"/>
      <c r="AG140" s="96"/>
      <c r="AH140" s="96"/>
    </row>
    <row r="141" spans="3:34" x14ac:dyDescent="0.35">
      <c r="M141" s="121"/>
      <c r="S141" s="169"/>
      <c r="T141" s="172"/>
      <c r="U141" s="172"/>
      <c r="V141" s="169"/>
      <c r="W141" s="119"/>
      <c r="X141" s="119"/>
      <c r="Z141" s="96"/>
      <c r="AA141" s="96"/>
      <c r="AB141" s="96"/>
      <c r="AC141" s="96"/>
      <c r="AD141" s="96"/>
      <c r="AE141" s="96"/>
      <c r="AF141" s="96"/>
      <c r="AG141" s="96"/>
      <c r="AH141" s="96"/>
    </row>
    <row r="142" spans="3:34" x14ac:dyDescent="0.35">
      <c r="M142" s="121"/>
      <c r="S142" s="169"/>
      <c r="T142" s="172"/>
      <c r="U142" s="172"/>
      <c r="V142" s="169"/>
      <c r="W142" s="119"/>
      <c r="X142" s="119"/>
      <c r="Z142" s="96"/>
      <c r="AA142" s="96"/>
      <c r="AB142" s="96"/>
      <c r="AC142" s="96"/>
      <c r="AD142" s="96"/>
      <c r="AE142" s="96"/>
      <c r="AF142" s="96"/>
      <c r="AG142" s="96"/>
      <c r="AH142" s="96"/>
    </row>
    <row r="143" spans="3:34" x14ac:dyDescent="0.35">
      <c r="M143" s="121"/>
      <c r="S143" s="169"/>
      <c r="T143" s="172"/>
      <c r="U143" s="172"/>
      <c r="V143" s="169"/>
      <c r="W143" s="119"/>
      <c r="X143" s="119"/>
      <c r="Z143" s="96"/>
      <c r="AA143" s="96"/>
      <c r="AB143" s="96"/>
      <c r="AC143" s="96"/>
      <c r="AD143" s="96"/>
      <c r="AE143" s="96"/>
      <c r="AF143" s="96"/>
      <c r="AG143" s="96"/>
      <c r="AH143" s="96"/>
    </row>
    <row r="144" spans="3:34" x14ac:dyDescent="0.35">
      <c r="M144" s="121"/>
      <c r="S144" s="169"/>
      <c r="T144" s="172"/>
      <c r="U144" s="172"/>
      <c r="V144" s="169"/>
      <c r="W144" s="119"/>
      <c r="X144" s="119"/>
      <c r="Z144" s="96"/>
      <c r="AA144" s="96"/>
      <c r="AB144" s="96"/>
      <c r="AC144" s="96"/>
      <c r="AD144" s="96"/>
      <c r="AE144" s="96"/>
      <c r="AF144" s="96"/>
      <c r="AG144" s="96"/>
      <c r="AH144" s="96"/>
    </row>
    <row r="145" spans="13:34" x14ac:dyDescent="0.35">
      <c r="M145" s="121"/>
      <c r="S145" s="169"/>
      <c r="T145" s="172"/>
      <c r="U145" s="172"/>
      <c r="V145" s="169"/>
      <c r="W145" s="119"/>
      <c r="X145" s="119"/>
      <c r="Z145" s="96"/>
      <c r="AA145" s="96"/>
      <c r="AB145" s="96"/>
      <c r="AC145" s="96"/>
      <c r="AD145" s="96"/>
      <c r="AE145" s="96"/>
      <c r="AF145" s="96"/>
      <c r="AG145" s="96"/>
      <c r="AH145" s="96"/>
    </row>
    <row r="146" spans="13:34" x14ac:dyDescent="0.35">
      <c r="M146" s="121"/>
      <c r="S146" s="169"/>
      <c r="T146" s="172"/>
      <c r="U146" s="172"/>
      <c r="V146" s="169"/>
      <c r="W146" s="119"/>
      <c r="X146" s="119"/>
      <c r="Z146" s="96"/>
      <c r="AA146" s="96"/>
      <c r="AB146" s="96"/>
      <c r="AC146" s="96"/>
      <c r="AD146" s="96"/>
      <c r="AE146" s="96"/>
      <c r="AF146" s="96"/>
      <c r="AG146" s="96"/>
      <c r="AH146" s="96"/>
    </row>
    <row r="147" spans="13:34" x14ac:dyDescent="0.35">
      <c r="M147" s="121"/>
      <c r="S147" s="169"/>
      <c r="T147" s="172"/>
      <c r="U147" s="172"/>
      <c r="V147" s="169"/>
      <c r="W147" s="119"/>
      <c r="X147" s="119"/>
      <c r="Z147" s="96"/>
      <c r="AA147" s="96"/>
      <c r="AB147" s="96"/>
      <c r="AC147" s="96"/>
      <c r="AD147" s="96"/>
      <c r="AE147" s="96"/>
      <c r="AF147" s="96"/>
      <c r="AG147" s="96"/>
      <c r="AH147" s="96"/>
    </row>
    <row r="148" spans="13:34" x14ac:dyDescent="0.35">
      <c r="M148" s="121"/>
      <c r="S148" s="169"/>
      <c r="T148" s="172"/>
      <c r="U148" s="172"/>
      <c r="V148" s="169"/>
      <c r="W148" s="119"/>
      <c r="X148" s="119"/>
      <c r="Z148" s="96"/>
      <c r="AA148" s="96"/>
      <c r="AB148" s="96"/>
      <c r="AC148" s="96"/>
      <c r="AD148" s="96"/>
      <c r="AE148" s="96"/>
      <c r="AF148" s="96"/>
      <c r="AG148" s="96"/>
      <c r="AH148" s="96"/>
    </row>
    <row r="149" spans="13:34" x14ac:dyDescent="0.35">
      <c r="M149" s="121"/>
      <c r="S149" s="169"/>
      <c r="T149" s="172"/>
      <c r="U149" s="172"/>
      <c r="V149" s="169"/>
      <c r="W149" s="119"/>
      <c r="X149" s="119"/>
      <c r="Z149" s="96"/>
      <c r="AA149" s="96"/>
      <c r="AB149" s="96"/>
      <c r="AC149" s="96"/>
      <c r="AD149" s="96"/>
      <c r="AE149" s="96"/>
      <c r="AF149" s="96"/>
      <c r="AG149" s="96"/>
      <c r="AH149" s="96"/>
    </row>
    <row r="150" spans="13:34" x14ac:dyDescent="0.35">
      <c r="M150" s="121"/>
      <c r="S150" s="169"/>
      <c r="T150" s="172"/>
      <c r="U150" s="172"/>
      <c r="V150" s="169"/>
      <c r="W150" s="119"/>
      <c r="X150" s="119"/>
      <c r="Z150" s="96"/>
      <c r="AA150" s="96"/>
      <c r="AB150" s="96"/>
      <c r="AC150" s="96"/>
      <c r="AD150" s="96"/>
      <c r="AE150" s="96"/>
      <c r="AF150" s="96"/>
      <c r="AG150" s="96"/>
      <c r="AH150" s="96"/>
    </row>
    <row r="151" spans="13:34" x14ac:dyDescent="0.35">
      <c r="M151" s="121"/>
      <c r="S151" s="169"/>
      <c r="T151" s="172"/>
      <c r="U151" s="172"/>
      <c r="V151" s="169"/>
      <c r="W151" s="119"/>
      <c r="X151" s="119"/>
      <c r="Z151" s="96"/>
      <c r="AA151" s="96"/>
      <c r="AB151" s="96"/>
      <c r="AC151" s="96"/>
      <c r="AD151" s="96"/>
      <c r="AE151" s="96"/>
      <c r="AF151" s="96"/>
      <c r="AG151" s="96"/>
      <c r="AH151" s="96"/>
    </row>
    <row r="152" spans="13:34" x14ac:dyDescent="0.35">
      <c r="M152" s="121"/>
      <c r="S152" s="169"/>
      <c r="T152" s="172"/>
      <c r="U152" s="172"/>
      <c r="V152" s="169"/>
      <c r="W152" s="119"/>
      <c r="X152" s="119"/>
      <c r="Z152" s="96"/>
      <c r="AA152" s="96"/>
      <c r="AB152" s="96"/>
      <c r="AC152" s="96"/>
      <c r="AD152" s="96"/>
      <c r="AE152" s="96"/>
      <c r="AF152" s="96"/>
      <c r="AG152" s="96"/>
      <c r="AH152" s="96"/>
    </row>
    <row r="153" spans="13:34" x14ac:dyDescent="0.35">
      <c r="M153" s="121"/>
      <c r="S153" s="169"/>
      <c r="T153" s="172"/>
      <c r="U153" s="172"/>
      <c r="V153" s="169"/>
      <c r="W153" s="119"/>
      <c r="X153" s="119"/>
      <c r="Z153" s="96"/>
      <c r="AA153" s="96"/>
      <c r="AB153" s="96"/>
      <c r="AC153" s="96"/>
      <c r="AD153" s="96"/>
      <c r="AE153" s="96"/>
      <c r="AF153" s="96"/>
      <c r="AG153" s="96"/>
      <c r="AH153" s="96"/>
    </row>
    <row r="154" spans="13:34" x14ac:dyDescent="0.35">
      <c r="M154" s="121"/>
      <c r="S154" s="169"/>
      <c r="T154" s="172"/>
      <c r="U154" s="172"/>
      <c r="V154" s="169"/>
      <c r="W154" s="119"/>
      <c r="X154" s="119"/>
      <c r="Z154" s="96"/>
      <c r="AA154" s="96"/>
      <c r="AB154" s="96"/>
      <c r="AC154" s="96"/>
      <c r="AD154" s="96"/>
      <c r="AE154" s="96"/>
      <c r="AF154" s="96"/>
      <c r="AG154" s="96"/>
      <c r="AH154" s="96"/>
    </row>
    <row r="155" spans="13:34" x14ac:dyDescent="0.35">
      <c r="M155" s="121"/>
      <c r="S155" s="169"/>
      <c r="T155" s="172"/>
      <c r="U155" s="172"/>
      <c r="V155" s="169"/>
      <c r="W155" s="119"/>
      <c r="X155" s="119"/>
      <c r="Z155" s="96"/>
      <c r="AA155" s="96"/>
      <c r="AB155" s="96"/>
      <c r="AC155" s="96"/>
      <c r="AD155" s="96"/>
      <c r="AE155" s="96"/>
      <c r="AF155" s="96"/>
      <c r="AG155" s="96"/>
      <c r="AH155" s="96"/>
    </row>
    <row r="156" spans="13:34" x14ac:dyDescent="0.35">
      <c r="M156" s="121"/>
      <c r="S156" s="169"/>
      <c r="T156" s="172"/>
      <c r="U156" s="172"/>
      <c r="V156" s="169"/>
      <c r="W156" s="119"/>
      <c r="X156" s="119"/>
      <c r="Z156" s="96"/>
      <c r="AA156" s="96"/>
      <c r="AB156" s="96"/>
      <c r="AC156" s="96"/>
      <c r="AD156" s="96"/>
      <c r="AE156" s="96"/>
      <c r="AF156" s="96"/>
      <c r="AG156" s="96"/>
      <c r="AH156" s="96"/>
    </row>
    <row r="157" spans="13:34" x14ac:dyDescent="0.35">
      <c r="M157" s="121"/>
      <c r="S157" s="169"/>
      <c r="T157" s="172"/>
      <c r="U157" s="172"/>
      <c r="V157" s="169"/>
      <c r="W157" s="119"/>
      <c r="X157" s="119"/>
      <c r="Z157" s="96"/>
      <c r="AA157" s="96"/>
      <c r="AB157" s="96"/>
      <c r="AC157" s="96"/>
      <c r="AD157" s="96"/>
      <c r="AE157" s="96"/>
      <c r="AF157" s="96"/>
      <c r="AG157" s="96"/>
      <c r="AH157" s="96"/>
    </row>
    <row r="158" spans="13:34" x14ac:dyDescent="0.35">
      <c r="M158" s="121"/>
      <c r="S158" s="169"/>
      <c r="T158" s="172"/>
      <c r="U158" s="172"/>
      <c r="V158" s="169"/>
      <c r="W158" s="119"/>
      <c r="X158" s="119"/>
      <c r="Z158" s="96"/>
      <c r="AA158" s="96"/>
      <c r="AB158" s="96"/>
      <c r="AC158" s="96"/>
      <c r="AD158" s="96"/>
      <c r="AE158" s="96"/>
      <c r="AF158" s="96"/>
      <c r="AG158" s="96"/>
      <c r="AH158" s="96"/>
    </row>
    <row r="159" spans="13:34" x14ac:dyDescent="0.35">
      <c r="M159" s="121"/>
      <c r="S159" s="169"/>
      <c r="T159" s="172"/>
      <c r="U159" s="172"/>
      <c r="V159" s="169"/>
      <c r="W159" s="119"/>
      <c r="X159" s="119"/>
      <c r="Z159" s="96"/>
      <c r="AA159" s="96"/>
      <c r="AB159" s="96"/>
      <c r="AC159" s="96"/>
      <c r="AD159" s="96"/>
      <c r="AE159" s="96"/>
      <c r="AF159" s="96"/>
      <c r="AG159" s="96"/>
      <c r="AH159" s="96"/>
    </row>
    <row r="160" spans="13:34" x14ac:dyDescent="0.35">
      <c r="M160" s="121"/>
      <c r="S160" s="169"/>
      <c r="T160" s="172"/>
      <c r="U160" s="172"/>
      <c r="V160" s="169"/>
      <c r="W160" s="119"/>
      <c r="X160" s="119"/>
      <c r="Z160" s="96"/>
      <c r="AA160" s="96"/>
      <c r="AB160" s="96"/>
      <c r="AC160" s="96"/>
      <c r="AD160" s="96"/>
      <c r="AE160" s="96"/>
      <c r="AF160" s="96"/>
      <c r="AG160" s="96"/>
      <c r="AH160" s="96"/>
    </row>
    <row r="161" spans="13:34" x14ac:dyDescent="0.35">
      <c r="M161" s="121"/>
      <c r="S161" s="169"/>
      <c r="T161" s="172"/>
      <c r="U161" s="172"/>
      <c r="V161" s="169"/>
      <c r="W161" s="119"/>
      <c r="X161" s="119"/>
      <c r="Z161" s="96"/>
      <c r="AA161" s="96"/>
      <c r="AB161" s="96"/>
      <c r="AC161" s="96"/>
      <c r="AD161" s="96"/>
      <c r="AE161" s="96"/>
      <c r="AF161" s="96"/>
      <c r="AG161" s="96"/>
      <c r="AH161" s="96"/>
    </row>
    <row r="162" spans="13:34" x14ac:dyDescent="0.35">
      <c r="M162" s="121"/>
      <c r="S162" s="169"/>
      <c r="T162" s="172"/>
      <c r="U162" s="172"/>
      <c r="V162" s="169"/>
      <c r="W162" s="119"/>
      <c r="X162" s="119"/>
      <c r="Z162" s="96"/>
      <c r="AA162" s="96"/>
      <c r="AB162" s="96"/>
      <c r="AC162" s="96"/>
      <c r="AD162" s="96"/>
      <c r="AE162" s="96"/>
      <c r="AF162" s="96"/>
      <c r="AG162" s="96"/>
      <c r="AH162" s="96"/>
    </row>
    <row r="163" spans="13:34" x14ac:dyDescent="0.35">
      <c r="M163" s="121"/>
      <c r="S163" s="169"/>
      <c r="T163" s="172"/>
      <c r="U163" s="172"/>
      <c r="V163" s="169"/>
      <c r="W163" s="119"/>
      <c r="X163" s="119"/>
      <c r="Z163" s="96"/>
      <c r="AA163" s="96"/>
      <c r="AB163" s="96"/>
      <c r="AC163" s="96"/>
      <c r="AD163" s="96"/>
      <c r="AE163" s="96"/>
      <c r="AF163" s="96"/>
      <c r="AG163" s="96"/>
      <c r="AH163" s="96"/>
    </row>
    <row r="164" spans="13:34" x14ac:dyDescent="0.35">
      <c r="M164" s="121"/>
      <c r="S164" s="169"/>
      <c r="T164" s="172"/>
      <c r="U164" s="172"/>
      <c r="V164" s="169"/>
      <c r="W164" s="119"/>
      <c r="X164" s="119"/>
      <c r="Z164" s="96"/>
      <c r="AA164" s="96"/>
      <c r="AB164" s="96"/>
      <c r="AC164" s="96"/>
      <c r="AD164" s="96"/>
      <c r="AE164" s="96"/>
      <c r="AF164" s="96"/>
      <c r="AG164" s="96"/>
      <c r="AH164" s="96"/>
    </row>
    <row r="165" spans="13:34" x14ac:dyDescent="0.35">
      <c r="M165" s="121"/>
      <c r="S165" s="169"/>
      <c r="T165" s="172"/>
      <c r="U165" s="172"/>
      <c r="V165" s="169"/>
      <c r="W165" s="119"/>
      <c r="X165" s="119"/>
      <c r="Z165" s="96"/>
      <c r="AA165" s="96"/>
      <c r="AB165" s="96"/>
      <c r="AC165" s="96"/>
      <c r="AD165" s="96"/>
      <c r="AE165" s="96"/>
      <c r="AF165" s="96"/>
      <c r="AG165" s="96"/>
      <c r="AH165" s="96"/>
    </row>
    <row r="166" spans="13:34" x14ac:dyDescent="0.35">
      <c r="M166" s="121"/>
      <c r="S166" s="169"/>
      <c r="T166" s="172"/>
      <c r="U166" s="172"/>
      <c r="V166" s="169"/>
      <c r="W166" s="119"/>
      <c r="X166" s="119"/>
      <c r="Z166" s="96"/>
      <c r="AA166" s="96"/>
      <c r="AB166" s="96"/>
      <c r="AC166" s="96"/>
      <c r="AD166" s="96"/>
      <c r="AE166" s="96"/>
      <c r="AF166" s="96"/>
      <c r="AG166" s="96"/>
      <c r="AH166" s="96"/>
    </row>
    <row r="167" spans="13:34" x14ac:dyDescent="0.35">
      <c r="M167" s="121"/>
      <c r="S167" s="169"/>
      <c r="T167" s="172"/>
      <c r="U167" s="172"/>
      <c r="V167" s="169"/>
      <c r="W167" s="119"/>
      <c r="X167" s="119"/>
      <c r="Z167" s="96"/>
      <c r="AA167" s="96"/>
      <c r="AB167" s="96"/>
      <c r="AC167" s="96"/>
      <c r="AD167" s="96"/>
      <c r="AE167" s="96"/>
      <c r="AF167" s="96"/>
      <c r="AG167" s="96"/>
      <c r="AH167" s="96"/>
    </row>
    <row r="168" spans="13:34" x14ac:dyDescent="0.35">
      <c r="M168" s="121"/>
      <c r="S168" s="169"/>
      <c r="T168" s="172"/>
      <c r="U168" s="172"/>
      <c r="V168" s="169"/>
      <c r="W168" s="119"/>
      <c r="X168" s="119"/>
      <c r="Z168" s="96"/>
      <c r="AA168" s="96"/>
      <c r="AB168" s="96"/>
      <c r="AC168" s="96"/>
      <c r="AD168" s="96"/>
      <c r="AE168" s="96"/>
      <c r="AF168" s="96"/>
      <c r="AG168" s="96"/>
      <c r="AH168" s="96"/>
    </row>
    <row r="169" spans="13:34" x14ac:dyDescent="0.35">
      <c r="M169" s="121"/>
      <c r="S169" s="169"/>
      <c r="T169" s="172"/>
      <c r="U169" s="172"/>
      <c r="V169" s="169"/>
      <c r="W169" s="119"/>
      <c r="X169" s="119"/>
      <c r="Z169" s="96"/>
      <c r="AA169" s="96"/>
      <c r="AB169" s="96"/>
      <c r="AC169" s="96"/>
      <c r="AD169" s="96"/>
      <c r="AE169" s="96"/>
      <c r="AF169" s="96"/>
      <c r="AG169" s="96"/>
      <c r="AH169" s="96"/>
    </row>
    <row r="170" spans="13:34" x14ac:dyDescent="0.35">
      <c r="M170" s="121"/>
      <c r="S170" s="169"/>
      <c r="T170" s="172"/>
      <c r="U170" s="172"/>
      <c r="V170" s="169"/>
      <c r="W170" s="119"/>
      <c r="X170" s="119"/>
      <c r="Z170" s="96"/>
      <c r="AA170" s="96"/>
      <c r="AB170" s="96"/>
      <c r="AC170" s="96"/>
      <c r="AD170" s="96"/>
      <c r="AE170" s="96"/>
      <c r="AF170" s="96"/>
      <c r="AG170" s="96"/>
      <c r="AH170" s="96"/>
    </row>
    <row r="171" spans="13:34" x14ac:dyDescent="0.35">
      <c r="M171" s="121"/>
      <c r="S171" s="169"/>
      <c r="T171" s="172"/>
      <c r="U171" s="172"/>
      <c r="V171" s="169"/>
      <c r="W171" s="119"/>
      <c r="X171" s="119"/>
      <c r="Z171" s="96"/>
      <c r="AA171" s="96"/>
      <c r="AB171" s="96"/>
      <c r="AC171" s="96"/>
      <c r="AD171" s="96"/>
      <c r="AE171" s="96"/>
      <c r="AF171" s="96"/>
      <c r="AG171" s="96"/>
      <c r="AH171" s="96"/>
    </row>
    <row r="172" spans="13:34" x14ac:dyDescent="0.35">
      <c r="M172" s="121"/>
      <c r="S172" s="169"/>
      <c r="T172" s="172"/>
      <c r="U172" s="172"/>
      <c r="V172" s="169"/>
      <c r="W172" s="119"/>
      <c r="X172" s="119"/>
      <c r="Z172" s="96"/>
      <c r="AA172" s="96"/>
      <c r="AB172" s="96"/>
      <c r="AC172" s="96"/>
      <c r="AD172" s="96"/>
      <c r="AE172" s="96"/>
      <c r="AF172" s="96"/>
      <c r="AG172" s="96"/>
      <c r="AH172" s="96"/>
    </row>
    <row r="173" spans="13:34" x14ac:dyDescent="0.35">
      <c r="M173" s="121"/>
      <c r="S173" s="169"/>
      <c r="T173" s="172"/>
      <c r="U173" s="172"/>
      <c r="V173" s="169"/>
      <c r="W173" s="119"/>
      <c r="X173" s="119"/>
      <c r="Z173" s="96"/>
      <c r="AA173" s="96"/>
      <c r="AB173" s="96"/>
      <c r="AC173" s="96"/>
      <c r="AD173" s="96"/>
      <c r="AE173" s="96"/>
      <c r="AF173" s="96"/>
      <c r="AG173" s="96"/>
      <c r="AH173" s="96"/>
    </row>
    <row r="174" spans="13:34" x14ac:dyDescent="0.35">
      <c r="M174" s="121"/>
      <c r="S174" s="169"/>
      <c r="T174" s="172"/>
      <c r="U174" s="172"/>
      <c r="V174" s="169"/>
      <c r="W174" s="119"/>
      <c r="X174" s="119"/>
      <c r="Z174" s="96"/>
      <c r="AA174" s="96"/>
      <c r="AB174" s="96"/>
      <c r="AC174" s="96"/>
      <c r="AD174" s="96"/>
      <c r="AE174" s="96"/>
      <c r="AF174" s="96"/>
      <c r="AG174" s="96"/>
      <c r="AH174" s="96"/>
    </row>
    <row r="175" spans="13:34" x14ac:dyDescent="0.35">
      <c r="M175" s="121"/>
      <c r="S175" s="169"/>
      <c r="T175" s="172"/>
      <c r="U175" s="172"/>
      <c r="V175" s="169"/>
      <c r="W175" s="119"/>
      <c r="X175" s="119"/>
      <c r="Z175" s="96"/>
      <c r="AA175" s="96"/>
      <c r="AB175" s="96"/>
      <c r="AC175" s="96"/>
      <c r="AD175" s="96"/>
      <c r="AE175" s="96"/>
      <c r="AF175" s="96"/>
      <c r="AG175" s="96"/>
      <c r="AH175" s="96"/>
    </row>
    <row r="176" spans="13:34" x14ac:dyDescent="0.35">
      <c r="M176" s="121"/>
      <c r="S176" s="169"/>
      <c r="T176" s="172"/>
      <c r="U176" s="172"/>
      <c r="V176" s="169"/>
      <c r="W176" s="119"/>
      <c r="X176" s="119"/>
      <c r="Z176" s="96"/>
      <c r="AA176" s="96"/>
      <c r="AB176" s="96"/>
      <c r="AC176" s="96"/>
      <c r="AD176" s="96"/>
      <c r="AE176" s="96"/>
      <c r="AF176" s="96"/>
      <c r="AG176" s="96"/>
      <c r="AH176" s="96"/>
    </row>
    <row r="177" spans="13:34" x14ac:dyDescent="0.35">
      <c r="M177" s="121"/>
      <c r="S177" s="169"/>
      <c r="T177" s="172"/>
      <c r="U177" s="172"/>
      <c r="V177" s="169"/>
      <c r="W177" s="119"/>
      <c r="X177" s="119"/>
      <c r="Z177" s="96"/>
      <c r="AA177" s="96"/>
      <c r="AB177" s="96"/>
      <c r="AC177" s="96"/>
      <c r="AD177" s="96"/>
      <c r="AE177" s="96"/>
      <c r="AF177" s="96"/>
      <c r="AG177" s="96"/>
      <c r="AH177" s="96"/>
    </row>
    <row r="178" spans="13:34" x14ac:dyDescent="0.35">
      <c r="M178" s="121"/>
      <c r="S178" s="169"/>
      <c r="T178" s="172"/>
      <c r="U178" s="172"/>
      <c r="V178" s="169"/>
      <c r="W178" s="119"/>
      <c r="X178" s="119"/>
      <c r="Z178" s="96"/>
      <c r="AA178" s="96"/>
      <c r="AB178" s="96"/>
      <c r="AC178" s="96"/>
      <c r="AD178" s="96"/>
      <c r="AE178" s="96"/>
      <c r="AF178" s="96"/>
      <c r="AG178" s="96"/>
      <c r="AH178" s="96"/>
    </row>
    <row r="179" spans="13:34" x14ac:dyDescent="0.35">
      <c r="M179" s="121"/>
      <c r="S179" s="169"/>
      <c r="T179" s="172"/>
      <c r="U179" s="172"/>
      <c r="V179" s="169"/>
      <c r="W179" s="119"/>
      <c r="X179" s="119"/>
      <c r="Z179" s="96"/>
      <c r="AA179" s="96"/>
      <c r="AB179" s="96"/>
      <c r="AC179" s="96"/>
      <c r="AD179" s="96"/>
      <c r="AE179" s="96"/>
      <c r="AF179" s="96"/>
      <c r="AG179" s="96"/>
      <c r="AH179" s="96"/>
    </row>
    <row r="180" spans="13:34" x14ac:dyDescent="0.35">
      <c r="M180" s="121"/>
      <c r="S180" s="169"/>
      <c r="T180" s="172"/>
      <c r="U180" s="172"/>
      <c r="V180" s="169"/>
      <c r="W180" s="119"/>
      <c r="X180" s="119"/>
      <c r="Z180" s="96"/>
      <c r="AA180" s="96"/>
      <c r="AB180" s="96"/>
      <c r="AC180" s="96"/>
      <c r="AD180" s="96"/>
      <c r="AE180" s="96"/>
      <c r="AF180" s="96"/>
      <c r="AG180" s="96"/>
      <c r="AH180" s="96"/>
    </row>
    <row r="181" spans="13:34" x14ac:dyDescent="0.35">
      <c r="M181" s="121"/>
      <c r="S181" s="169"/>
      <c r="T181" s="172"/>
      <c r="U181" s="172"/>
      <c r="V181" s="169"/>
      <c r="W181" s="119"/>
      <c r="X181" s="119"/>
      <c r="Z181" s="96"/>
      <c r="AA181" s="96"/>
      <c r="AB181" s="96"/>
      <c r="AC181" s="96"/>
      <c r="AD181" s="96"/>
      <c r="AE181" s="96"/>
      <c r="AF181" s="96"/>
      <c r="AG181" s="96"/>
      <c r="AH181" s="96"/>
    </row>
    <row r="182" spans="13:34" x14ac:dyDescent="0.35">
      <c r="M182" s="121"/>
      <c r="S182" s="169"/>
      <c r="T182" s="172"/>
      <c r="U182" s="172"/>
      <c r="V182" s="169"/>
      <c r="W182" s="119"/>
      <c r="X182" s="119"/>
      <c r="Z182" s="96"/>
      <c r="AA182" s="96"/>
      <c r="AB182" s="96"/>
      <c r="AC182" s="96"/>
      <c r="AD182" s="96"/>
      <c r="AE182" s="96"/>
      <c r="AF182" s="96"/>
      <c r="AG182" s="96"/>
      <c r="AH182" s="96"/>
    </row>
    <row r="183" spans="13:34" x14ac:dyDescent="0.35">
      <c r="M183" s="121"/>
      <c r="S183" s="169"/>
      <c r="T183" s="172"/>
      <c r="U183" s="172"/>
      <c r="V183" s="169"/>
      <c r="W183" s="119"/>
      <c r="X183" s="119"/>
      <c r="Z183" s="96"/>
      <c r="AA183" s="96"/>
      <c r="AB183" s="96"/>
      <c r="AC183" s="96"/>
      <c r="AD183" s="96"/>
      <c r="AE183" s="96"/>
      <c r="AF183" s="96"/>
      <c r="AG183" s="96"/>
      <c r="AH183" s="96"/>
    </row>
    <row r="184" spans="13:34" x14ac:dyDescent="0.35">
      <c r="M184" s="121"/>
      <c r="S184" s="169"/>
      <c r="T184" s="172"/>
      <c r="U184" s="172"/>
      <c r="V184" s="169"/>
      <c r="W184" s="119"/>
      <c r="X184" s="119"/>
      <c r="Z184" s="96"/>
      <c r="AA184" s="96"/>
      <c r="AB184" s="96"/>
      <c r="AC184" s="96"/>
      <c r="AD184" s="96"/>
      <c r="AE184" s="96"/>
      <c r="AF184" s="96"/>
      <c r="AG184" s="96"/>
      <c r="AH184" s="96"/>
    </row>
    <row r="185" spans="13:34" x14ac:dyDescent="0.35">
      <c r="M185" s="121"/>
      <c r="S185" s="169"/>
      <c r="T185" s="172"/>
      <c r="U185" s="172"/>
      <c r="V185" s="169"/>
      <c r="W185" s="119"/>
      <c r="X185" s="119"/>
      <c r="Z185" s="96"/>
      <c r="AA185" s="96"/>
      <c r="AB185" s="96"/>
      <c r="AC185" s="96"/>
      <c r="AD185" s="96"/>
      <c r="AE185" s="96"/>
      <c r="AF185" s="96"/>
      <c r="AG185" s="96"/>
      <c r="AH185" s="96"/>
    </row>
    <row r="186" spans="13:34" x14ac:dyDescent="0.35">
      <c r="M186" s="121"/>
      <c r="S186" s="169"/>
      <c r="T186" s="172"/>
      <c r="U186" s="172"/>
      <c r="V186" s="169"/>
      <c r="W186" s="119"/>
      <c r="X186" s="119"/>
      <c r="Z186" s="96"/>
      <c r="AA186" s="96"/>
      <c r="AB186" s="96"/>
      <c r="AC186" s="96"/>
      <c r="AD186" s="96"/>
      <c r="AE186" s="96"/>
      <c r="AF186" s="96"/>
      <c r="AG186" s="96"/>
      <c r="AH186" s="96"/>
    </row>
    <row r="187" spans="13:34" x14ac:dyDescent="0.35">
      <c r="M187" s="121"/>
      <c r="S187" s="169"/>
      <c r="T187" s="172"/>
      <c r="U187" s="172"/>
      <c r="V187" s="169"/>
      <c r="W187" s="119"/>
      <c r="X187" s="119"/>
      <c r="Z187" s="96"/>
      <c r="AA187" s="96"/>
      <c r="AB187" s="96"/>
      <c r="AC187" s="96"/>
      <c r="AD187" s="96"/>
      <c r="AE187" s="96"/>
      <c r="AF187" s="96"/>
      <c r="AG187" s="96"/>
      <c r="AH187" s="96"/>
    </row>
    <row r="188" spans="13:34" x14ac:dyDescent="0.35">
      <c r="M188" s="121"/>
      <c r="S188" s="169"/>
      <c r="T188" s="172"/>
      <c r="U188" s="172"/>
      <c r="V188" s="169"/>
      <c r="W188" s="119"/>
      <c r="X188" s="119"/>
      <c r="Z188" s="96"/>
      <c r="AA188" s="96"/>
      <c r="AB188" s="96"/>
      <c r="AC188" s="96"/>
      <c r="AD188" s="96"/>
      <c r="AE188" s="96"/>
      <c r="AF188" s="96"/>
      <c r="AG188" s="96"/>
      <c r="AH188" s="96"/>
    </row>
    <row r="189" spans="13:34" x14ac:dyDescent="0.35">
      <c r="M189" s="121"/>
      <c r="S189" s="169"/>
      <c r="T189" s="172"/>
      <c r="U189" s="172"/>
      <c r="V189" s="169"/>
      <c r="W189" s="119"/>
      <c r="X189" s="119"/>
      <c r="Z189" s="96"/>
      <c r="AA189" s="96"/>
      <c r="AB189" s="96"/>
      <c r="AC189" s="96"/>
      <c r="AD189" s="96"/>
      <c r="AE189" s="96"/>
      <c r="AF189" s="96"/>
      <c r="AG189" s="96"/>
      <c r="AH189" s="96"/>
    </row>
    <row r="190" spans="13:34" x14ac:dyDescent="0.35">
      <c r="M190" s="121"/>
      <c r="S190" s="169"/>
      <c r="T190" s="172"/>
      <c r="U190" s="172"/>
      <c r="V190" s="169"/>
      <c r="W190" s="119"/>
      <c r="X190" s="119"/>
      <c r="Z190" s="96"/>
      <c r="AA190" s="96"/>
      <c r="AB190" s="96"/>
      <c r="AC190" s="96"/>
      <c r="AD190" s="96"/>
      <c r="AE190" s="96"/>
      <c r="AF190" s="96"/>
      <c r="AG190" s="96"/>
      <c r="AH190" s="96"/>
    </row>
    <row r="191" spans="13:34" x14ac:dyDescent="0.35">
      <c r="M191" s="121"/>
      <c r="S191" s="169"/>
      <c r="T191" s="172"/>
      <c r="U191" s="172"/>
      <c r="V191" s="169"/>
      <c r="W191" s="119"/>
      <c r="X191" s="119"/>
      <c r="Z191" s="96"/>
      <c r="AA191" s="96"/>
      <c r="AB191" s="96"/>
      <c r="AC191" s="96"/>
      <c r="AD191" s="96"/>
      <c r="AE191" s="96"/>
      <c r="AF191" s="96"/>
      <c r="AG191" s="96"/>
      <c r="AH191" s="96"/>
    </row>
    <row r="192" spans="13:34" x14ac:dyDescent="0.35">
      <c r="M192" s="121"/>
      <c r="S192" s="169"/>
      <c r="T192" s="172"/>
      <c r="U192" s="172"/>
      <c r="V192" s="169"/>
      <c r="W192" s="119"/>
      <c r="X192" s="119"/>
      <c r="Z192" s="96"/>
      <c r="AA192" s="96"/>
      <c r="AB192" s="96"/>
      <c r="AC192" s="96"/>
      <c r="AD192" s="96"/>
      <c r="AE192" s="96"/>
      <c r="AF192" s="96"/>
      <c r="AG192" s="96"/>
      <c r="AH192" s="96"/>
    </row>
    <row r="193" spans="13:34" x14ac:dyDescent="0.35">
      <c r="M193" s="121"/>
      <c r="S193" s="169"/>
      <c r="T193" s="172"/>
      <c r="U193" s="172"/>
      <c r="V193" s="169"/>
      <c r="W193" s="119"/>
      <c r="X193" s="119"/>
      <c r="Z193" s="96"/>
      <c r="AA193" s="96"/>
      <c r="AB193" s="96"/>
      <c r="AC193" s="96"/>
      <c r="AD193" s="96"/>
      <c r="AE193" s="96"/>
      <c r="AF193" s="96"/>
      <c r="AG193" s="96"/>
      <c r="AH193" s="96"/>
    </row>
    <row r="194" spans="13:34" x14ac:dyDescent="0.35">
      <c r="M194" s="121"/>
      <c r="S194" s="169"/>
      <c r="T194" s="172"/>
      <c r="U194" s="172"/>
      <c r="V194" s="169"/>
      <c r="W194" s="119"/>
      <c r="X194" s="119"/>
      <c r="Z194" s="96"/>
      <c r="AA194" s="96"/>
      <c r="AB194" s="96"/>
      <c r="AC194" s="96"/>
      <c r="AD194" s="96"/>
      <c r="AE194" s="96"/>
      <c r="AF194" s="96"/>
      <c r="AG194" s="96"/>
      <c r="AH194" s="96"/>
    </row>
    <row r="195" spans="13:34" x14ac:dyDescent="0.35">
      <c r="M195" s="121"/>
      <c r="S195" s="169"/>
      <c r="T195" s="172"/>
      <c r="U195" s="172"/>
      <c r="V195" s="169"/>
      <c r="W195" s="119"/>
      <c r="X195" s="119"/>
      <c r="Z195" s="96"/>
      <c r="AA195" s="96"/>
      <c r="AB195" s="96"/>
      <c r="AC195" s="96"/>
      <c r="AD195" s="96"/>
      <c r="AE195" s="96"/>
      <c r="AF195" s="96"/>
      <c r="AG195" s="96"/>
      <c r="AH195" s="96"/>
    </row>
    <row r="196" spans="13:34" x14ac:dyDescent="0.35">
      <c r="M196" s="121"/>
      <c r="S196" s="169"/>
      <c r="T196" s="172"/>
      <c r="U196" s="172"/>
      <c r="V196" s="169"/>
      <c r="W196" s="119"/>
      <c r="X196" s="119"/>
      <c r="Z196" s="96"/>
      <c r="AA196" s="96"/>
      <c r="AB196" s="96"/>
      <c r="AC196" s="96"/>
      <c r="AD196" s="96"/>
      <c r="AE196" s="96"/>
      <c r="AF196" s="96"/>
      <c r="AG196" s="96"/>
      <c r="AH196" s="96"/>
    </row>
    <row r="197" spans="13:34" x14ac:dyDescent="0.35">
      <c r="M197" s="121"/>
      <c r="S197" s="169"/>
      <c r="T197" s="172"/>
      <c r="U197" s="172"/>
      <c r="V197" s="169"/>
      <c r="W197" s="119"/>
      <c r="X197" s="119"/>
      <c r="Z197" s="96"/>
      <c r="AA197" s="96"/>
      <c r="AB197" s="96"/>
      <c r="AC197" s="96"/>
      <c r="AD197" s="96"/>
      <c r="AE197" s="96"/>
      <c r="AF197" s="96"/>
      <c r="AG197" s="96"/>
      <c r="AH197" s="96"/>
    </row>
    <row r="198" spans="13:34" x14ac:dyDescent="0.35">
      <c r="M198" s="121"/>
      <c r="S198" s="169"/>
      <c r="T198" s="172"/>
      <c r="U198" s="172"/>
      <c r="V198" s="169"/>
      <c r="W198" s="119"/>
      <c r="X198" s="119"/>
      <c r="Z198" s="96"/>
      <c r="AA198" s="96"/>
      <c r="AB198" s="96"/>
      <c r="AC198" s="96"/>
      <c r="AD198" s="96"/>
      <c r="AE198" s="96"/>
      <c r="AF198" s="96"/>
      <c r="AG198" s="96"/>
      <c r="AH198" s="96"/>
    </row>
    <row r="199" spans="13:34" x14ac:dyDescent="0.35">
      <c r="M199" s="121"/>
      <c r="S199" s="169"/>
      <c r="T199" s="172"/>
      <c r="U199" s="172"/>
      <c r="V199" s="169"/>
      <c r="W199" s="119"/>
      <c r="X199" s="119"/>
      <c r="Z199" s="96"/>
      <c r="AA199" s="96"/>
      <c r="AB199" s="96"/>
      <c r="AC199" s="96"/>
      <c r="AD199" s="96"/>
      <c r="AE199" s="96"/>
      <c r="AF199" s="96"/>
      <c r="AG199" s="96"/>
      <c r="AH199" s="96"/>
    </row>
    <row r="200" spans="13:34" x14ac:dyDescent="0.35">
      <c r="M200" s="121"/>
      <c r="S200" s="169"/>
      <c r="T200" s="172"/>
      <c r="U200" s="172"/>
      <c r="V200" s="169"/>
      <c r="W200" s="119"/>
      <c r="X200" s="119"/>
      <c r="Z200" s="96"/>
      <c r="AA200" s="96"/>
      <c r="AB200" s="96"/>
      <c r="AC200" s="96"/>
      <c r="AD200" s="96"/>
      <c r="AE200" s="96"/>
      <c r="AF200" s="96"/>
      <c r="AG200" s="96"/>
      <c r="AH200" s="96"/>
    </row>
    <row r="201" spans="13:34" x14ac:dyDescent="0.35">
      <c r="M201" s="121"/>
      <c r="S201" s="169"/>
      <c r="T201" s="172"/>
      <c r="U201" s="172"/>
      <c r="V201" s="169"/>
      <c r="W201" s="119"/>
      <c r="X201" s="119"/>
      <c r="Z201" s="96"/>
      <c r="AA201" s="96"/>
      <c r="AB201" s="96"/>
      <c r="AC201" s="96"/>
      <c r="AD201" s="96"/>
      <c r="AE201" s="96"/>
      <c r="AF201" s="96"/>
      <c r="AG201" s="96"/>
      <c r="AH201" s="96"/>
    </row>
    <row r="202" spans="13:34" x14ac:dyDescent="0.35">
      <c r="M202" s="121"/>
      <c r="S202" s="169"/>
      <c r="T202" s="172"/>
      <c r="U202" s="172"/>
      <c r="V202" s="169"/>
      <c r="W202" s="119"/>
      <c r="X202" s="119"/>
      <c r="Z202" s="96"/>
      <c r="AA202" s="96"/>
      <c r="AB202" s="96"/>
      <c r="AC202" s="96"/>
      <c r="AD202" s="96"/>
      <c r="AE202" s="96"/>
      <c r="AF202" s="96"/>
      <c r="AG202" s="96"/>
      <c r="AH202" s="96"/>
    </row>
    <row r="203" spans="13:34" x14ac:dyDescent="0.35">
      <c r="M203" s="121"/>
      <c r="S203" s="169"/>
      <c r="T203" s="172"/>
      <c r="U203" s="172"/>
      <c r="V203" s="169"/>
      <c r="W203" s="119"/>
      <c r="X203" s="119"/>
      <c r="Z203" s="96"/>
      <c r="AA203" s="96"/>
      <c r="AB203" s="96"/>
      <c r="AC203" s="96"/>
      <c r="AD203" s="96"/>
      <c r="AE203" s="96"/>
      <c r="AF203" s="96"/>
      <c r="AG203" s="96"/>
      <c r="AH203" s="96"/>
    </row>
    <row r="204" spans="13:34" x14ac:dyDescent="0.35">
      <c r="M204" s="121"/>
      <c r="S204" s="169"/>
      <c r="T204" s="172"/>
      <c r="U204" s="172"/>
      <c r="V204" s="169"/>
      <c r="W204" s="119"/>
      <c r="X204" s="119"/>
      <c r="Z204" s="96"/>
      <c r="AA204" s="96"/>
      <c r="AB204" s="96"/>
      <c r="AC204" s="96"/>
      <c r="AD204" s="96"/>
      <c r="AE204" s="96"/>
      <c r="AF204" s="96"/>
      <c r="AG204" s="96"/>
      <c r="AH204" s="96"/>
    </row>
    <row r="205" spans="13:34" x14ac:dyDescent="0.35">
      <c r="M205" s="121"/>
      <c r="S205" s="169"/>
      <c r="T205" s="172"/>
      <c r="U205" s="172"/>
      <c r="V205" s="169"/>
      <c r="W205" s="119"/>
      <c r="X205" s="119"/>
      <c r="Z205" s="96"/>
      <c r="AA205" s="96"/>
      <c r="AB205" s="96"/>
      <c r="AC205" s="96"/>
      <c r="AD205" s="96"/>
      <c r="AE205" s="96"/>
      <c r="AF205" s="96"/>
      <c r="AG205" s="96"/>
      <c r="AH205" s="96"/>
    </row>
    <row r="206" spans="13:34" x14ac:dyDescent="0.35">
      <c r="M206" s="121"/>
      <c r="S206" s="169"/>
      <c r="T206" s="172"/>
      <c r="U206" s="172"/>
      <c r="V206" s="169"/>
      <c r="W206" s="119"/>
      <c r="X206" s="119"/>
      <c r="Z206" s="96"/>
      <c r="AA206" s="96"/>
      <c r="AB206" s="96"/>
      <c r="AC206" s="96"/>
      <c r="AD206" s="96"/>
      <c r="AE206" s="96"/>
      <c r="AF206" s="96"/>
      <c r="AG206" s="96"/>
      <c r="AH206" s="96"/>
    </row>
    <row r="207" spans="13:34" x14ac:dyDescent="0.35">
      <c r="M207" s="121"/>
      <c r="S207" s="169"/>
      <c r="T207" s="172"/>
      <c r="U207" s="172"/>
      <c r="V207" s="169"/>
      <c r="W207" s="119"/>
      <c r="X207" s="119"/>
      <c r="Z207" s="96"/>
      <c r="AA207" s="96"/>
      <c r="AB207" s="96"/>
      <c r="AC207" s="96"/>
      <c r="AD207" s="96"/>
      <c r="AE207" s="96"/>
      <c r="AF207" s="96"/>
      <c r="AG207" s="96"/>
      <c r="AH207" s="96"/>
    </row>
    <row r="208" spans="13:34" x14ac:dyDescent="0.35">
      <c r="M208" s="121"/>
      <c r="S208" s="169"/>
      <c r="T208" s="172"/>
      <c r="U208" s="172"/>
      <c r="V208" s="169"/>
      <c r="W208" s="119"/>
      <c r="X208" s="119"/>
      <c r="Z208" s="96"/>
      <c r="AA208" s="96"/>
      <c r="AB208" s="96"/>
      <c r="AC208" s="96"/>
      <c r="AD208" s="96"/>
      <c r="AE208" s="96"/>
      <c r="AF208" s="96"/>
      <c r="AG208" s="96"/>
      <c r="AH208" s="96"/>
    </row>
    <row r="209" spans="13:34" x14ac:dyDescent="0.35">
      <c r="M209" s="121"/>
      <c r="S209" s="169"/>
      <c r="T209" s="172"/>
      <c r="U209" s="172"/>
      <c r="V209" s="169"/>
      <c r="W209" s="119"/>
      <c r="X209" s="119"/>
      <c r="Z209" s="96"/>
      <c r="AA209" s="96"/>
      <c r="AB209" s="96"/>
      <c r="AC209" s="96"/>
      <c r="AD209" s="96"/>
      <c r="AE209" s="96"/>
      <c r="AF209" s="96"/>
      <c r="AG209" s="96"/>
      <c r="AH209" s="96"/>
    </row>
    <row r="210" spans="13:34" x14ac:dyDescent="0.35">
      <c r="M210" s="121"/>
      <c r="S210" s="169"/>
      <c r="T210" s="172"/>
      <c r="U210" s="172"/>
      <c r="V210" s="169"/>
      <c r="W210" s="119"/>
      <c r="X210" s="119"/>
      <c r="Z210" s="96"/>
      <c r="AA210" s="96"/>
      <c r="AB210" s="96"/>
      <c r="AC210" s="96"/>
      <c r="AD210" s="96"/>
      <c r="AE210" s="96"/>
      <c r="AF210" s="96"/>
      <c r="AG210" s="96"/>
      <c r="AH210" s="96"/>
    </row>
    <row r="211" spans="13:34" x14ac:dyDescent="0.35">
      <c r="M211" s="121"/>
      <c r="S211" s="169"/>
      <c r="T211" s="172"/>
      <c r="U211" s="172"/>
      <c r="V211" s="169"/>
      <c r="W211" s="119"/>
      <c r="X211" s="119"/>
      <c r="Z211" s="96"/>
      <c r="AA211" s="96"/>
      <c r="AB211" s="96"/>
      <c r="AC211" s="96"/>
      <c r="AD211" s="96"/>
      <c r="AE211" s="96"/>
      <c r="AF211" s="96"/>
      <c r="AG211" s="96"/>
      <c r="AH211" s="96"/>
    </row>
    <row r="212" spans="13:34" x14ac:dyDescent="0.35">
      <c r="M212" s="121"/>
      <c r="S212" s="169"/>
      <c r="T212" s="172"/>
      <c r="U212" s="172"/>
      <c r="V212" s="169"/>
      <c r="W212" s="119"/>
      <c r="X212" s="119"/>
      <c r="Z212" s="96"/>
      <c r="AA212" s="96"/>
      <c r="AB212" s="96"/>
      <c r="AC212" s="96"/>
      <c r="AD212" s="96"/>
      <c r="AE212" s="96"/>
      <c r="AF212" s="96"/>
      <c r="AG212" s="96"/>
      <c r="AH212" s="96"/>
    </row>
    <row r="213" spans="13:34" x14ac:dyDescent="0.35">
      <c r="M213" s="121"/>
      <c r="S213" s="169"/>
      <c r="T213" s="172"/>
      <c r="U213" s="172"/>
      <c r="V213" s="169"/>
      <c r="W213" s="119"/>
      <c r="X213" s="119"/>
      <c r="Z213" s="96"/>
      <c r="AA213" s="96"/>
      <c r="AB213" s="96"/>
      <c r="AC213" s="96"/>
      <c r="AD213" s="96"/>
      <c r="AE213" s="96"/>
      <c r="AF213" s="96"/>
      <c r="AG213" s="96"/>
      <c r="AH213" s="96"/>
    </row>
    <row r="214" spans="13:34" x14ac:dyDescent="0.35">
      <c r="M214" s="121"/>
      <c r="S214" s="169"/>
      <c r="T214" s="172"/>
      <c r="U214" s="172"/>
      <c r="V214" s="169"/>
      <c r="W214" s="119"/>
      <c r="X214" s="119"/>
      <c r="Z214" s="96"/>
      <c r="AA214" s="96"/>
      <c r="AB214" s="96"/>
      <c r="AC214" s="96"/>
      <c r="AD214" s="96"/>
      <c r="AE214" s="96"/>
      <c r="AF214" s="96"/>
      <c r="AG214" s="96"/>
      <c r="AH214" s="96"/>
    </row>
    <row r="215" spans="13:34" x14ac:dyDescent="0.35">
      <c r="M215" s="121"/>
      <c r="S215" s="169"/>
      <c r="T215" s="172"/>
      <c r="U215" s="172"/>
      <c r="V215" s="169"/>
      <c r="W215" s="119"/>
      <c r="X215" s="119"/>
      <c r="Z215" s="96"/>
      <c r="AA215" s="96"/>
      <c r="AB215" s="96"/>
      <c r="AC215" s="96"/>
      <c r="AD215" s="96"/>
      <c r="AE215" s="96"/>
      <c r="AF215" s="96"/>
      <c r="AG215" s="96"/>
      <c r="AH215" s="96"/>
    </row>
    <row r="216" spans="13:34" x14ac:dyDescent="0.35">
      <c r="M216" s="121"/>
      <c r="S216" s="169"/>
      <c r="T216" s="172"/>
      <c r="U216" s="172"/>
      <c r="V216" s="169"/>
      <c r="W216" s="119"/>
      <c r="X216" s="119"/>
      <c r="Z216" s="96"/>
      <c r="AA216" s="96"/>
      <c r="AB216" s="96"/>
      <c r="AC216" s="96"/>
      <c r="AD216" s="96"/>
      <c r="AE216" s="96"/>
      <c r="AF216" s="96"/>
      <c r="AG216" s="96"/>
      <c r="AH216" s="96"/>
    </row>
    <row r="217" spans="13:34" x14ac:dyDescent="0.35">
      <c r="M217" s="121"/>
      <c r="S217" s="169"/>
      <c r="T217" s="172"/>
      <c r="U217" s="172"/>
      <c r="V217" s="169"/>
      <c r="W217" s="119"/>
      <c r="X217" s="119"/>
      <c r="Z217" s="96"/>
      <c r="AA217" s="96"/>
      <c r="AB217" s="96"/>
      <c r="AC217" s="96"/>
      <c r="AD217" s="96"/>
      <c r="AE217" s="96"/>
      <c r="AF217" s="96"/>
      <c r="AG217" s="96"/>
      <c r="AH217" s="96"/>
    </row>
    <row r="218" spans="13:34" x14ac:dyDescent="0.35">
      <c r="M218" s="121"/>
      <c r="S218" s="169"/>
      <c r="T218" s="172"/>
      <c r="U218" s="172"/>
      <c r="V218" s="169"/>
      <c r="W218" s="119"/>
      <c r="X218" s="119"/>
      <c r="Z218" s="96"/>
      <c r="AA218" s="96"/>
      <c r="AB218" s="96"/>
      <c r="AC218" s="96"/>
      <c r="AD218" s="96"/>
      <c r="AE218" s="96"/>
      <c r="AF218" s="96"/>
      <c r="AG218" s="96"/>
      <c r="AH218" s="96"/>
    </row>
    <row r="219" spans="13:34" x14ac:dyDescent="0.35">
      <c r="M219" s="121"/>
      <c r="S219" s="169"/>
      <c r="T219" s="172"/>
      <c r="U219" s="172"/>
      <c r="V219" s="169"/>
      <c r="W219" s="119"/>
      <c r="X219" s="119"/>
      <c r="Z219" s="96"/>
      <c r="AA219" s="96"/>
      <c r="AB219" s="96"/>
      <c r="AC219" s="96"/>
      <c r="AD219" s="96"/>
      <c r="AE219" s="96"/>
      <c r="AF219" s="96"/>
      <c r="AG219" s="96"/>
      <c r="AH219" s="96"/>
    </row>
    <row r="220" spans="13:34" x14ac:dyDescent="0.35">
      <c r="M220" s="121"/>
      <c r="S220" s="169"/>
      <c r="T220" s="172"/>
      <c r="U220" s="172"/>
      <c r="V220" s="169"/>
      <c r="W220" s="119"/>
      <c r="X220" s="119"/>
      <c r="Z220" s="96"/>
      <c r="AA220" s="96"/>
      <c r="AB220" s="96"/>
      <c r="AC220" s="96"/>
      <c r="AD220" s="96"/>
      <c r="AE220" s="96"/>
      <c r="AF220" s="96"/>
      <c r="AG220" s="96"/>
      <c r="AH220" s="96"/>
    </row>
    <row r="221" spans="13:34" x14ac:dyDescent="0.35">
      <c r="M221" s="121"/>
      <c r="S221" s="169"/>
      <c r="T221" s="172"/>
      <c r="U221" s="172"/>
      <c r="V221" s="169"/>
      <c r="W221" s="119"/>
      <c r="X221" s="119"/>
      <c r="Z221" s="96"/>
      <c r="AA221" s="96"/>
      <c r="AB221" s="96"/>
      <c r="AC221" s="96"/>
      <c r="AD221" s="96"/>
      <c r="AE221" s="96"/>
      <c r="AF221" s="96"/>
      <c r="AG221" s="96"/>
      <c r="AH221" s="96"/>
    </row>
    <row r="222" spans="13:34" x14ac:dyDescent="0.35">
      <c r="M222" s="121"/>
      <c r="S222" s="169"/>
      <c r="T222" s="172"/>
      <c r="U222" s="172"/>
      <c r="V222" s="169"/>
      <c r="W222" s="119"/>
      <c r="X222" s="119"/>
      <c r="Z222" s="96"/>
      <c r="AA222" s="96"/>
      <c r="AB222" s="96"/>
      <c r="AC222" s="96"/>
      <c r="AD222" s="96"/>
      <c r="AE222" s="96"/>
      <c r="AF222" s="96"/>
      <c r="AG222" s="96"/>
      <c r="AH222" s="96"/>
    </row>
    <row r="223" spans="13:34" x14ac:dyDescent="0.35">
      <c r="M223" s="121"/>
      <c r="S223" s="169"/>
      <c r="T223" s="172"/>
      <c r="U223" s="172"/>
      <c r="V223" s="169"/>
      <c r="W223" s="119"/>
      <c r="X223" s="119"/>
      <c r="Z223" s="96"/>
      <c r="AA223" s="96"/>
      <c r="AB223" s="96"/>
      <c r="AC223" s="96"/>
      <c r="AD223" s="96"/>
      <c r="AE223" s="96"/>
      <c r="AF223" s="96"/>
      <c r="AG223" s="96"/>
      <c r="AH223" s="96"/>
    </row>
    <row r="224" spans="13:34" x14ac:dyDescent="0.35">
      <c r="M224" s="121"/>
      <c r="S224" s="169"/>
      <c r="T224" s="172"/>
      <c r="U224" s="172"/>
      <c r="V224" s="169"/>
      <c r="W224" s="119"/>
      <c r="X224" s="119"/>
      <c r="Z224" s="96"/>
      <c r="AA224" s="96"/>
      <c r="AB224" s="96"/>
      <c r="AC224" s="96"/>
      <c r="AD224" s="96"/>
      <c r="AE224" s="96"/>
      <c r="AF224" s="96"/>
      <c r="AG224" s="96"/>
      <c r="AH224" s="96"/>
    </row>
    <row r="225" spans="13:34" x14ac:dyDescent="0.35">
      <c r="M225" s="121"/>
      <c r="S225" s="169"/>
      <c r="T225" s="172"/>
      <c r="U225" s="172"/>
      <c r="V225" s="169"/>
      <c r="W225" s="119"/>
      <c r="X225" s="119"/>
      <c r="Z225" s="96"/>
      <c r="AA225" s="96"/>
      <c r="AB225" s="96"/>
      <c r="AC225" s="96"/>
      <c r="AD225" s="96"/>
      <c r="AE225" s="96"/>
      <c r="AF225" s="96"/>
      <c r="AG225" s="96"/>
      <c r="AH225" s="96"/>
    </row>
    <row r="226" spans="13:34" x14ac:dyDescent="0.35">
      <c r="M226" s="121"/>
      <c r="S226" s="169"/>
      <c r="T226" s="172"/>
      <c r="U226" s="172"/>
      <c r="V226" s="169"/>
      <c r="W226" s="119"/>
      <c r="X226" s="119"/>
      <c r="Z226" s="96"/>
      <c r="AA226" s="96"/>
      <c r="AB226" s="96"/>
      <c r="AC226" s="96"/>
      <c r="AD226" s="96"/>
      <c r="AE226" s="96"/>
      <c r="AF226" s="96"/>
      <c r="AG226" s="96"/>
      <c r="AH226" s="96"/>
    </row>
    <row r="227" spans="13:34" x14ac:dyDescent="0.35">
      <c r="M227" s="121"/>
      <c r="S227" s="169"/>
      <c r="T227" s="172"/>
      <c r="U227" s="172"/>
      <c r="V227" s="169"/>
      <c r="W227" s="119"/>
      <c r="X227" s="119"/>
      <c r="Z227" s="96"/>
      <c r="AA227" s="96"/>
      <c r="AB227" s="96"/>
      <c r="AC227" s="96"/>
      <c r="AD227" s="96"/>
      <c r="AE227" s="96"/>
      <c r="AF227" s="96"/>
      <c r="AG227" s="96"/>
      <c r="AH227" s="96"/>
    </row>
    <row r="228" spans="13:34" ht="13" thickBot="1" x14ac:dyDescent="0.4">
      <c r="M228" s="121"/>
      <c r="S228" s="173"/>
      <c r="T228" s="174"/>
      <c r="U228" s="172"/>
      <c r="V228" s="169"/>
      <c r="W228" s="119"/>
      <c r="X228" s="119"/>
      <c r="Z228" s="96"/>
      <c r="AA228" s="96"/>
      <c r="AB228" s="96"/>
      <c r="AC228" s="96"/>
      <c r="AD228" s="96"/>
      <c r="AE228" s="96"/>
      <c r="AF228" s="96"/>
      <c r="AG228" s="96"/>
      <c r="AH228" s="96"/>
    </row>
    <row r="229" spans="13:34" ht="13" thickBot="1" x14ac:dyDescent="0.4">
      <c r="M229" s="121"/>
      <c r="S229" s="175"/>
      <c r="T229" s="176"/>
      <c r="U229" s="172"/>
      <c r="V229" s="169"/>
      <c r="W229" s="119"/>
      <c r="X229" s="119"/>
    </row>
    <row r="230" spans="13:34" ht="13" thickBot="1" x14ac:dyDescent="0.4">
      <c r="M230" s="121"/>
      <c r="S230" s="175"/>
      <c r="T230" s="176"/>
      <c r="U230" s="172"/>
      <c r="V230" s="169"/>
      <c r="W230" s="119"/>
      <c r="X230" s="119"/>
    </row>
    <row r="231" spans="13:34" ht="13" thickBot="1" x14ac:dyDescent="0.4">
      <c r="M231" s="121"/>
      <c r="S231" s="175"/>
      <c r="T231" s="176"/>
      <c r="U231" s="172"/>
      <c r="V231" s="169"/>
      <c r="W231" s="119"/>
      <c r="X231" s="119"/>
    </row>
    <row r="232" spans="13:34" ht="13" thickBot="1" x14ac:dyDescent="0.4">
      <c r="M232" s="121"/>
      <c r="S232" s="175"/>
      <c r="T232" s="176"/>
      <c r="U232" s="172"/>
      <c r="V232" s="169"/>
      <c r="W232" s="119"/>
      <c r="X232" s="119"/>
    </row>
    <row r="233" spans="13:34" ht="13" thickBot="1" x14ac:dyDescent="0.4">
      <c r="M233" s="121"/>
      <c r="S233" s="175"/>
      <c r="T233" s="176"/>
      <c r="U233" s="172"/>
      <c r="V233" s="169"/>
      <c r="W233" s="119"/>
      <c r="X233" s="119"/>
    </row>
    <row r="234" spans="13:34" ht="13" thickBot="1" x14ac:dyDescent="0.4">
      <c r="M234" s="121"/>
      <c r="S234" s="175"/>
      <c r="T234" s="176"/>
      <c r="U234" s="172"/>
      <c r="V234" s="169"/>
      <c r="W234" s="119"/>
      <c r="X234" s="119"/>
    </row>
    <row r="235" spans="13:34" ht="13" thickBot="1" x14ac:dyDescent="0.4">
      <c r="M235" s="121"/>
      <c r="S235" s="175"/>
      <c r="T235" s="176"/>
      <c r="U235" s="172"/>
      <c r="V235" s="169"/>
      <c r="W235" s="119"/>
      <c r="X235" s="119"/>
    </row>
    <row r="236" spans="13:34" ht="13" thickBot="1" x14ac:dyDescent="0.4">
      <c r="M236" s="121"/>
      <c r="S236" s="175"/>
      <c r="T236" s="176"/>
      <c r="U236" s="172"/>
      <c r="V236" s="169"/>
      <c r="W236" s="119"/>
      <c r="X236" s="119"/>
    </row>
    <row r="237" spans="13:34" ht="13" thickBot="1" x14ac:dyDescent="0.4">
      <c r="M237" s="121"/>
      <c r="S237" s="175"/>
      <c r="T237" s="176"/>
      <c r="U237" s="172"/>
      <c r="V237" s="169"/>
      <c r="W237" s="119"/>
      <c r="X237" s="119"/>
    </row>
    <row r="238" spans="13:34" ht="13" thickBot="1" x14ac:dyDescent="0.4">
      <c r="M238" s="121"/>
      <c r="S238" s="175"/>
      <c r="T238" s="176"/>
      <c r="U238" s="172"/>
      <c r="V238" s="169"/>
      <c r="W238" s="119"/>
      <c r="X238" s="119"/>
    </row>
    <row r="239" spans="13:34" ht="13" thickBot="1" x14ac:dyDescent="0.4">
      <c r="M239" s="121"/>
      <c r="S239" s="175"/>
      <c r="T239" s="176"/>
      <c r="U239" s="172"/>
      <c r="V239" s="169"/>
      <c r="W239" s="119"/>
      <c r="X239" s="119"/>
    </row>
    <row r="240" spans="13:34" ht="13" thickBot="1" x14ac:dyDescent="0.4">
      <c r="M240" s="121"/>
      <c r="S240" s="175"/>
      <c r="T240" s="176"/>
      <c r="U240" s="172"/>
      <c r="V240" s="169"/>
      <c r="W240" s="119"/>
      <c r="X240" s="119"/>
    </row>
    <row r="241" spans="13:24" ht="13" thickBot="1" x14ac:dyDescent="0.4">
      <c r="M241" s="121"/>
      <c r="S241" s="175"/>
      <c r="T241" s="176"/>
      <c r="U241" s="172"/>
      <c r="V241" s="169"/>
      <c r="W241" s="119"/>
      <c r="X241" s="119"/>
    </row>
    <row r="242" spans="13:24" ht="13" thickBot="1" x14ac:dyDescent="0.4">
      <c r="M242" s="121"/>
      <c r="S242" s="175"/>
      <c r="T242" s="176"/>
      <c r="U242" s="172"/>
      <c r="V242" s="169"/>
      <c r="W242" s="119"/>
      <c r="X242" s="119"/>
    </row>
    <row r="243" spans="13:24" ht="13" thickBot="1" x14ac:dyDescent="0.4">
      <c r="M243" s="121"/>
      <c r="S243" s="175"/>
      <c r="T243" s="176"/>
      <c r="U243" s="172"/>
      <c r="V243" s="169"/>
      <c r="W243" s="119"/>
      <c r="X243" s="119"/>
    </row>
    <row r="244" spans="13:24" ht="13" thickBot="1" x14ac:dyDescent="0.4">
      <c r="M244" s="121"/>
      <c r="S244" s="175"/>
      <c r="T244" s="176"/>
      <c r="U244" s="172"/>
      <c r="V244" s="169"/>
      <c r="W244" s="119"/>
      <c r="X244" s="119"/>
    </row>
    <row r="245" spans="13:24" ht="13" thickBot="1" x14ac:dyDescent="0.4">
      <c r="M245" s="121"/>
      <c r="S245" s="175"/>
      <c r="T245" s="176"/>
      <c r="U245" s="172"/>
      <c r="V245" s="169"/>
      <c r="W245" s="119"/>
      <c r="X245" s="119"/>
    </row>
    <row r="246" spans="13:24" ht="13" thickBot="1" x14ac:dyDescent="0.4">
      <c r="M246" s="121"/>
      <c r="S246" s="175"/>
      <c r="T246" s="176"/>
      <c r="U246" s="172"/>
      <c r="V246" s="169"/>
      <c r="W246" s="119"/>
      <c r="X246" s="119"/>
    </row>
    <row r="247" spans="13:24" ht="13" thickBot="1" x14ac:dyDescent="0.4">
      <c r="M247" s="121"/>
      <c r="S247" s="175"/>
      <c r="T247" s="176"/>
      <c r="U247" s="172"/>
      <c r="V247" s="169"/>
      <c r="W247" s="119"/>
      <c r="X247" s="119"/>
    </row>
    <row r="248" spans="13:24" ht="13" thickBot="1" x14ac:dyDescent="0.4">
      <c r="M248" s="121"/>
      <c r="S248" s="175"/>
      <c r="T248" s="176"/>
      <c r="U248" s="172"/>
      <c r="V248" s="169"/>
      <c r="W248" s="119"/>
      <c r="X248" s="119"/>
    </row>
    <row r="249" spans="13:24" ht="13" thickBot="1" x14ac:dyDescent="0.4">
      <c r="M249" s="121"/>
      <c r="S249" s="175"/>
      <c r="T249" s="176"/>
      <c r="U249" s="172"/>
      <c r="V249" s="169"/>
      <c r="W249" s="119"/>
      <c r="X249" s="119"/>
    </row>
    <row r="250" spans="13:24" ht="13" thickBot="1" x14ac:dyDescent="0.4">
      <c r="M250" s="121"/>
      <c r="S250" s="175"/>
      <c r="T250" s="176"/>
      <c r="U250" s="172"/>
      <c r="V250" s="169"/>
      <c r="W250" s="119"/>
      <c r="X250" s="119"/>
    </row>
    <row r="251" spans="13:24" ht="13" thickBot="1" x14ac:dyDescent="0.4">
      <c r="M251" s="121"/>
      <c r="S251" s="175"/>
      <c r="T251" s="176"/>
      <c r="U251" s="172"/>
      <c r="V251" s="169"/>
      <c r="W251" s="119"/>
      <c r="X251" s="119"/>
    </row>
    <row r="252" spans="13:24" ht="13" thickBot="1" x14ac:dyDescent="0.4">
      <c r="M252" s="121"/>
      <c r="S252" s="175"/>
      <c r="T252" s="176"/>
      <c r="U252" s="172"/>
      <c r="V252" s="169"/>
      <c r="W252" s="119"/>
      <c r="X252" s="119"/>
    </row>
    <row r="253" spans="13:24" ht="13" thickBot="1" x14ac:dyDescent="0.4">
      <c r="M253" s="121"/>
      <c r="S253" s="175"/>
      <c r="T253" s="176"/>
      <c r="U253" s="172"/>
      <c r="V253" s="169"/>
      <c r="W253" s="119"/>
      <c r="X253" s="119"/>
    </row>
    <row r="254" spans="13:24" ht="13" thickBot="1" x14ac:dyDescent="0.4">
      <c r="M254" s="121"/>
      <c r="S254" s="175"/>
      <c r="T254" s="176"/>
      <c r="U254" s="172"/>
      <c r="V254" s="169"/>
      <c r="W254" s="119"/>
      <c r="X254" s="119"/>
    </row>
    <row r="255" spans="13:24" ht="13" thickBot="1" x14ac:dyDescent="0.4">
      <c r="M255" s="121"/>
      <c r="S255" s="175"/>
      <c r="T255" s="176"/>
      <c r="U255" s="172"/>
      <c r="V255" s="169"/>
      <c r="W255" s="119"/>
      <c r="X255" s="119"/>
    </row>
    <row r="256" spans="13:24" ht="13" thickBot="1" x14ac:dyDescent="0.4">
      <c r="M256" s="121"/>
      <c r="S256" s="175"/>
      <c r="T256" s="176"/>
      <c r="U256" s="172"/>
      <c r="V256" s="169"/>
      <c r="W256" s="119"/>
      <c r="X256" s="119"/>
    </row>
    <row r="257" spans="13:24" ht="13" thickBot="1" x14ac:dyDescent="0.4">
      <c r="M257" s="121"/>
      <c r="S257" s="175"/>
      <c r="T257" s="176"/>
      <c r="U257" s="172"/>
      <c r="V257" s="169"/>
      <c r="W257" s="119"/>
      <c r="X257" s="119"/>
    </row>
    <row r="258" spans="13:24" ht="13" thickBot="1" x14ac:dyDescent="0.4">
      <c r="M258" s="121"/>
      <c r="S258" s="175"/>
      <c r="T258" s="176"/>
      <c r="U258" s="172"/>
      <c r="V258" s="169"/>
      <c r="W258" s="119"/>
      <c r="X258" s="119"/>
    </row>
    <row r="259" spans="13:24" ht="13" thickBot="1" x14ac:dyDescent="0.4">
      <c r="M259" s="121"/>
      <c r="S259" s="175"/>
      <c r="T259" s="176"/>
      <c r="U259" s="172"/>
      <c r="V259" s="169"/>
      <c r="W259" s="119"/>
      <c r="X259" s="119"/>
    </row>
    <row r="260" spans="13:24" ht="13" thickBot="1" x14ac:dyDescent="0.4">
      <c r="M260" s="121"/>
      <c r="S260" s="175"/>
      <c r="T260" s="176"/>
      <c r="U260" s="172"/>
      <c r="V260" s="169"/>
      <c r="W260" s="119"/>
      <c r="X260" s="119"/>
    </row>
    <row r="261" spans="13:24" ht="13" thickBot="1" x14ac:dyDescent="0.4">
      <c r="M261" s="121"/>
      <c r="S261" s="175"/>
      <c r="T261" s="176"/>
      <c r="U261" s="172"/>
      <c r="V261" s="169"/>
      <c r="W261" s="119"/>
      <c r="X261" s="119"/>
    </row>
    <row r="262" spans="13:24" ht="13" thickBot="1" x14ac:dyDescent="0.4">
      <c r="M262" s="121"/>
      <c r="S262" s="175"/>
      <c r="T262" s="176"/>
      <c r="U262" s="172"/>
      <c r="V262" s="169"/>
      <c r="W262" s="119"/>
      <c r="X262" s="119"/>
    </row>
    <row r="263" spans="13:24" ht="13" thickBot="1" x14ac:dyDescent="0.4">
      <c r="M263" s="121"/>
      <c r="S263" s="175"/>
      <c r="T263" s="176"/>
      <c r="U263" s="172"/>
      <c r="V263" s="169"/>
      <c r="W263" s="119"/>
      <c r="X263" s="119"/>
    </row>
    <row r="264" spans="13:24" ht="13" thickBot="1" x14ac:dyDescent="0.4">
      <c r="M264" s="121"/>
      <c r="S264" s="175"/>
      <c r="T264" s="176"/>
      <c r="U264" s="172"/>
      <c r="V264" s="169"/>
      <c r="W264" s="119"/>
      <c r="X264" s="119"/>
    </row>
    <row r="265" spans="13:24" ht="13" thickBot="1" x14ac:dyDescent="0.4">
      <c r="M265" s="121"/>
      <c r="S265" s="175"/>
      <c r="T265" s="176"/>
      <c r="U265" s="172"/>
      <c r="V265" s="169"/>
      <c r="W265" s="119"/>
      <c r="X265" s="119"/>
    </row>
    <row r="266" spans="13:24" ht="13" thickBot="1" x14ac:dyDescent="0.4">
      <c r="M266" s="121"/>
      <c r="S266" s="175"/>
      <c r="T266" s="176"/>
      <c r="U266" s="172"/>
      <c r="V266" s="169"/>
      <c r="W266" s="119"/>
      <c r="X266" s="119"/>
    </row>
    <row r="267" spans="13:24" ht="13" thickBot="1" x14ac:dyDescent="0.4">
      <c r="M267" s="121"/>
      <c r="S267" s="175"/>
      <c r="T267" s="176"/>
      <c r="U267" s="172"/>
      <c r="V267" s="169"/>
      <c r="W267" s="119"/>
      <c r="X267" s="119"/>
    </row>
    <row r="268" spans="13:24" ht="13" thickBot="1" x14ac:dyDescent="0.4">
      <c r="M268" s="121"/>
      <c r="S268" s="175"/>
      <c r="T268" s="176"/>
      <c r="U268" s="172"/>
      <c r="V268" s="169"/>
      <c r="W268" s="119"/>
      <c r="X268" s="119"/>
    </row>
    <row r="269" spans="13:24" ht="13" thickBot="1" x14ac:dyDescent="0.4">
      <c r="M269" s="121"/>
      <c r="S269" s="175"/>
      <c r="T269" s="176"/>
      <c r="U269" s="172"/>
      <c r="V269" s="169"/>
      <c r="W269" s="119"/>
      <c r="X269" s="119"/>
    </row>
    <row r="270" spans="13:24" ht="13" thickBot="1" x14ac:dyDescent="0.4">
      <c r="M270" s="121"/>
      <c r="S270" s="175"/>
      <c r="T270" s="176"/>
      <c r="U270" s="172"/>
      <c r="V270" s="169"/>
      <c r="W270" s="119"/>
      <c r="X270" s="119"/>
    </row>
    <row r="271" spans="13:24" ht="13" thickBot="1" x14ac:dyDescent="0.4">
      <c r="M271" s="121"/>
      <c r="S271" s="175"/>
      <c r="T271" s="176"/>
      <c r="U271" s="172"/>
      <c r="V271" s="169"/>
      <c r="W271" s="119"/>
      <c r="X271" s="119"/>
    </row>
    <row r="272" spans="13:24" ht="13" thickBot="1" x14ac:dyDescent="0.4">
      <c r="M272" s="121"/>
      <c r="S272" s="175"/>
      <c r="T272" s="176"/>
      <c r="U272" s="172"/>
      <c r="V272" s="169"/>
      <c r="W272" s="119"/>
      <c r="X272" s="119"/>
    </row>
    <row r="273" spans="13:24" ht="13" thickBot="1" x14ac:dyDescent="0.4">
      <c r="M273" s="121"/>
      <c r="S273" s="175"/>
      <c r="T273" s="176"/>
      <c r="U273" s="172"/>
      <c r="V273" s="169"/>
      <c r="W273" s="119"/>
      <c r="X273" s="119"/>
    </row>
    <row r="274" spans="13:24" ht="13" thickBot="1" x14ac:dyDescent="0.4">
      <c r="M274" s="121"/>
      <c r="S274" s="175"/>
      <c r="T274" s="176"/>
      <c r="U274" s="172"/>
      <c r="V274" s="169"/>
      <c r="W274" s="119"/>
      <c r="X274" s="119"/>
    </row>
    <row r="275" spans="13:24" ht="13" thickBot="1" x14ac:dyDescent="0.4">
      <c r="M275" s="121"/>
      <c r="S275" s="175"/>
      <c r="T275" s="176"/>
      <c r="U275" s="172"/>
      <c r="V275" s="169"/>
      <c r="W275" s="119"/>
      <c r="X275" s="119"/>
    </row>
    <row r="276" spans="13:24" ht="13" thickBot="1" x14ac:dyDescent="0.4">
      <c r="M276" s="121"/>
      <c r="S276" s="175"/>
      <c r="T276" s="176"/>
      <c r="U276" s="172"/>
      <c r="V276" s="169"/>
      <c r="W276" s="119"/>
      <c r="X276" s="119"/>
    </row>
    <row r="277" spans="13:24" ht="13" thickBot="1" x14ac:dyDescent="0.4">
      <c r="M277" s="121"/>
      <c r="S277" s="175"/>
      <c r="T277" s="176"/>
      <c r="U277" s="172"/>
      <c r="V277" s="169"/>
      <c r="W277" s="119"/>
      <c r="X277" s="119"/>
    </row>
    <row r="278" spans="13:24" ht="13" thickBot="1" x14ac:dyDescent="0.4">
      <c r="M278" s="121"/>
      <c r="S278" s="175"/>
      <c r="T278" s="176"/>
      <c r="U278" s="172"/>
      <c r="V278" s="169"/>
      <c r="W278" s="119"/>
      <c r="X278" s="119"/>
    </row>
    <row r="279" spans="13:24" ht="13" thickBot="1" x14ac:dyDescent="0.4">
      <c r="M279" s="121"/>
      <c r="S279" s="175"/>
      <c r="T279" s="176"/>
      <c r="U279" s="172"/>
      <c r="V279" s="169"/>
      <c r="W279" s="119"/>
      <c r="X279" s="119"/>
    </row>
    <row r="280" spans="13:24" ht="13" thickBot="1" x14ac:dyDescent="0.4">
      <c r="M280" s="121"/>
      <c r="S280" s="175"/>
      <c r="T280" s="176"/>
      <c r="U280" s="172"/>
      <c r="V280" s="169"/>
      <c r="W280" s="119"/>
      <c r="X280" s="119"/>
    </row>
    <row r="281" spans="13:24" ht="13" thickBot="1" x14ac:dyDescent="0.4">
      <c r="M281" s="121"/>
      <c r="S281" s="175"/>
      <c r="T281" s="176"/>
      <c r="U281" s="172"/>
      <c r="V281" s="169"/>
      <c r="W281" s="119"/>
      <c r="X281" s="119"/>
    </row>
    <row r="282" spans="13:24" ht="13" thickBot="1" x14ac:dyDescent="0.4">
      <c r="M282" s="121"/>
      <c r="S282" s="175"/>
      <c r="T282" s="176"/>
      <c r="U282" s="172"/>
      <c r="V282" s="169"/>
      <c r="W282" s="119"/>
      <c r="X282" s="119"/>
    </row>
    <row r="283" spans="13:24" ht="13" thickBot="1" x14ac:dyDescent="0.4">
      <c r="M283" s="121"/>
      <c r="S283" s="175"/>
      <c r="T283" s="176"/>
      <c r="U283" s="172"/>
      <c r="V283" s="169"/>
      <c r="W283" s="119"/>
      <c r="X283" s="119"/>
    </row>
    <row r="284" spans="13:24" ht="13" thickBot="1" x14ac:dyDescent="0.4">
      <c r="M284" s="121"/>
      <c r="S284" s="175"/>
      <c r="T284" s="176"/>
      <c r="U284" s="172"/>
      <c r="V284" s="169"/>
      <c r="W284" s="119"/>
      <c r="X284" s="119"/>
    </row>
    <row r="285" spans="13:24" ht="13" thickBot="1" x14ac:dyDescent="0.4">
      <c r="M285" s="121"/>
      <c r="S285" s="175"/>
      <c r="T285" s="176"/>
      <c r="U285" s="172"/>
      <c r="V285" s="169"/>
      <c r="W285" s="119"/>
      <c r="X285" s="119"/>
    </row>
    <row r="286" spans="13:24" ht="13" thickBot="1" x14ac:dyDescent="0.4">
      <c r="M286" s="121"/>
      <c r="S286" s="175"/>
      <c r="T286" s="176"/>
      <c r="U286" s="172"/>
      <c r="V286" s="169"/>
      <c r="W286" s="119"/>
      <c r="X286" s="119"/>
    </row>
    <row r="287" spans="13:24" ht="13" thickBot="1" x14ac:dyDescent="0.4">
      <c r="M287" s="121"/>
      <c r="S287" s="175"/>
      <c r="T287" s="176"/>
      <c r="U287" s="172"/>
      <c r="V287" s="169"/>
      <c r="W287" s="119"/>
      <c r="X287" s="119"/>
    </row>
    <row r="288" spans="13:24" ht="13" thickBot="1" x14ac:dyDescent="0.4">
      <c r="M288" s="121"/>
      <c r="S288" s="175"/>
      <c r="T288" s="176"/>
      <c r="U288" s="172"/>
      <c r="V288" s="169"/>
      <c r="W288" s="119"/>
      <c r="X288" s="119"/>
    </row>
    <row r="289" spans="13:24" ht="13" thickBot="1" x14ac:dyDescent="0.4">
      <c r="M289" s="121"/>
      <c r="S289" s="175"/>
      <c r="T289" s="176"/>
      <c r="U289" s="172"/>
      <c r="V289" s="169"/>
      <c r="W289" s="119"/>
      <c r="X289" s="119"/>
    </row>
    <row r="290" spans="13:24" ht="13" thickBot="1" x14ac:dyDescent="0.4">
      <c r="M290" s="121"/>
      <c r="S290" s="175"/>
      <c r="T290" s="176"/>
      <c r="U290" s="172"/>
      <c r="V290" s="169"/>
      <c r="W290" s="119"/>
      <c r="X290" s="119"/>
    </row>
    <row r="291" spans="13:24" ht="13" thickBot="1" x14ac:dyDescent="0.4">
      <c r="M291" s="121"/>
      <c r="S291" s="175"/>
      <c r="T291" s="176"/>
      <c r="U291" s="172"/>
      <c r="V291" s="169"/>
      <c r="W291" s="119"/>
      <c r="X291" s="119"/>
    </row>
    <row r="292" spans="13:24" ht="13" thickBot="1" x14ac:dyDescent="0.4">
      <c r="M292" s="121"/>
      <c r="S292" s="175"/>
      <c r="T292" s="176"/>
      <c r="U292" s="172"/>
      <c r="V292" s="169"/>
      <c r="W292" s="119"/>
      <c r="X292" s="119"/>
    </row>
    <row r="293" spans="13:24" ht="13" thickBot="1" x14ac:dyDescent="0.4">
      <c r="M293" s="121"/>
      <c r="S293" s="175"/>
      <c r="T293" s="176"/>
      <c r="U293" s="172"/>
      <c r="V293" s="169"/>
      <c r="W293" s="119"/>
      <c r="X293" s="119"/>
    </row>
    <row r="294" spans="13:24" ht="13" thickBot="1" x14ac:dyDescent="0.4">
      <c r="M294" s="121"/>
      <c r="S294" s="175"/>
      <c r="T294" s="176"/>
      <c r="U294" s="172"/>
      <c r="V294" s="169"/>
      <c r="W294" s="119"/>
      <c r="X294" s="119"/>
    </row>
    <row r="295" spans="13:24" ht="13" thickBot="1" x14ac:dyDescent="0.4">
      <c r="M295" s="121"/>
      <c r="S295" s="175"/>
      <c r="T295" s="176"/>
      <c r="U295" s="172"/>
      <c r="V295" s="169"/>
      <c r="W295" s="119"/>
      <c r="X295" s="119"/>
    </row>
    <row r="296" spans="13:24" ht="13" thickBot="1" x14ac:dyDescent="0.4">
      <c r="M296" s="121"/>
      <c r="S296" s="175"/>
      <c r="T296" s="176"/>
      <c r="U296" s="172"/>
      <c r="V296" s="169"/>
      <c r="W296" s="119"/>
      <c r="X296" s="119"/>
    </row>
    <row r="297" spans="13:24" ht="13" thickBot="1" x14ac:dyDescent="0.4">
      <c r="M297" s="121"/>
      <c r="S297" s="175"/>
      <c r="T297" s="176"/>
      <c r="U297" s="172"/>
      <c r="V297" s="169"/>
      <c r="W297" s="119"/>
      <c r="X297" s="119"/>
    </row>
    <row r="298" spans="13:24" ht="13" thickBot="1" x14ac:dyDescent="0.4">
      <c r="M298" s="121"/>
      <c r="S298" s="175"/>
      <c r="T298" s="176"/>
      <c r="U298" s="172"/>
      <c r="V298" s="169"/>
      <c r="W298" s="119"/>
      <c r="X298" s="119"/>
    </row>
    <row r="299" spans="13:24" ht="13" thickBot="1" x14ac:dyDescent="0.4">
      <c r="M299" s="121"/>
      <c r="S299" s="175"/>
      <c r="T299" s="176"/>
      <c r="U299" s="172"/>
      <c r="V299" s="169"/>
      <c r="W299" s="119"/>
      <c r="X299" s="119"/>
    </row>
    <row r="300" spans="13:24" ht="13" thickBot="1" x14ac:dyDescent="0.4">
      <c r="M300" s="121"/>
      <c r="S300" s="175"/>
      <c r="T300" s="176"/>
      <c r="U300" s="172"/>
      <c r="V300" s="169"/>
      <c r="W300" s="119"/>
      <c r="X300" s="119"/>
    </row>
    <row r="301" spans="13:24" ht="13" thickBot="1" x14ac:dyDescent="0.4">
      <c r="M301" s="121"/>
      <c r="S301" s="175"/>
      <c r="T301" s="176"/>
      <c r="U301" s="172"/>
      <c r="V301" s="169"/>
      <c r="W301" s="119"/>
      <c r="X301" s="119"/>
    </row>
    <row r="302" spans="13:24" ht="13" thickBot="1" x14ac:dyDescent="0.4">
      <c r="M302" s="121"/>
      <c r="S302" s="175"/>
      <c r="T302" s="176"/>
      <c r="U302" s="172"/>
      <c r="V302" s="169"/>
      <c r="W302" s="119"/>
      <c r="X302" s="119"/>
    </row>
    <row r="303" spans="13:24" ht="13" thickBot="1" x14ac:dyDescent="0.4">
      <c r="M303" s="121"/>
      <c r="S303" s="175"/>
      <c r="T303" s="176"/>
      <c r="U303" s="172"/>
      <c r="V303" s="169"/>
      <c r="W303" s="119"/>
      <c r="X303" s="119"/>
    </row>
    <row r="304" spans="13:24" ht="13" thickBot="1" x14ac:dyDescent="0.4">
      <c r="M304" s="121"/>
      <c r="S304" s="175"/>
      <c r="T304" s="176"/>
      <c r="U304" s="172"/>
      <c r="V304" s="169"/>
      <c r="W304" s="119"/>
      <c r="X304" s="119"/>
    </row>
    <row r="305" spans="13:24" ht="13" thickBot="1" x14ac:dyDescent="0.4">
      <c r="M305" s="121"/>
      <c r="S305" s="175"/>
      <c r="T305" s="176"/>
      <c r="U305" s="172"/>
      <c r="V305" s="169"/>
      <c r="W305" s="119"/>
      <c r="X305" s="119"/>
    </row>
    <row r="306" spans="13:24" ht="13" thickBot="1" x14ac:dyDescent="0.4">
      <c r="M306" s="121"/>
      <c r="S306" s="175"/>
      <c r="T306" s="176"/>
      <c r="U306" s="172"/>
      <c r="V306" s="169"/>
      <c r="W306" s="119"/>
      <c r="X306" s="119"/>
    </row>
    <row r="307" spans="13:24" ht="13" thickBot="1" x14ac:dyDescent="0.4">
      <c r="M307" s="121"/>
      <c r="S307" s="175"/>
      <c r="T307" s="176"/>
      <c r="U307" s="172"/>
      <c r="V307" s="169"/>
      <c r="W307" s="119"/>
      <c r="X307" s="119"/>
    </row>
    <row r="308" spans="13:24" ht="13" thickBot="1" x14ac:dyDescent="0.4">
      <c r="M308" s="121"/>
      <c r="S308" s="175"/>
      <c r="T308" s="176"/>
      <c r="U308" s="172"/>
      <c r="V308" s="169"/>
      <c r="W308" s="119"/>
      <c r="X308" s="119"/>
    </row>
    <row r="309" spans="13:24" ht="13" thickBot="1" x14ac:dyDescent="0.4">
      <c r="M309" s="121"/>
      <c r="S309" s="175"/>
      <c r="T309" s="176"/>
      <c r="U309" s="172"/>
      <c r="V309" s="169"/>
      <c r="W309" s="119"/>
      <c r="X309" s="119"/>
    </row>
    <row r="310" spans="13:24" ht="13" thickBot="1" x14ac:dyDescent="0.4">
      <c r="M310" s="121"/>
      <c r="S310" s="175"/>
      <c r="T310" s="176"/>
      <c r="U310" s="172"/>
      <c r="V310" s="169"/>
      <c r="W310" s="119"/>
      <c r="X310" s="119"/>
    </row>
    <row r="311" spans="13:24" ht="13" thickBot="1" x14ac:dyDescent="0.4">
      <c r="M311" s="121"/>
      <c r="S311" s="175"/>
      <c r="T311" s="176"/>
      <c r="U311" s="172"/>
      <c r="V311" s="169"/>
      <c r="W311" s="119"/>
      <c r="X311" s="119"/>
    </row>
    <row r="312" spans="13:24" ht="13" thickBot="1" x14ac:dyDescent="0.4">
      <c r="M312" s="121"/>
      <c r="S312" s="175"/>
      <c r="T312" s="176"/>
      <c r="U312" s="172"/>
      <c r="V312" s="169"/>
      <c r="W312" s="119"/>
      <c r="X312" s="119"/>
    </row>
    <row r="313" spans="13:24" ht="13" thickBot="1" x14ac:dyDescent="0.4">
      <c r="M313" s="121"/>
      <c r="S313" s="175"/>
      <c r="T313" s="176"/>
      <c r="U313" s="172"/>
      <c r="V313" s="169"/>
      <c r="W313" s="119"/>
      <c r="X313" s="119"/>
    </row>
    <row r="314" spans="13:24" ht="13" thickBot="1" x14ac:dyDescent="0.4">
      <c r="M314" s="121"/>
      <c r="S314" s="175"/>
      <c r="T314" s="176"/>
      <c r="U314" s="172"/>
      <c r="V314" s="169"/>
      <c r="W314" s="119"/>
      <c r="X314" s="119"/>
    </row>
    <row r="315" spans="13:24" ht="13" thickBot="1" x14ac:dyDescent="0.4">
      <c r="M315" s="121"/>
      <c r="S315" s="175"/>
      <c r="T315" s="176"/>
      <c r="U315" s="172"/>
      <c r="V315" s="169"/>
      <c r="W315" s="119"/>
      <c r="X315" s="119"/>
    </row>
    <row r="316" spans="13:24" ht="13" thickBot="1" x14ac:dyDescent="0.4">
      <c r="M316" s="121"/>
      <c r="S316" s="175"/>
      <c r="T316" s="176"/>
      <c r="U316" s="172"/>
      <c r="V316" s="169"/>
      <c r="W316" s="119"/>
      <c r="X316" s="119"/>
    </row>
    <row r="317" spans="13:24" ht="13" thickBot="1" x14ac:dyDescent="0.4">
      <c r="M317" s="121"/>
      <c r="S317" s="175"/>
      <c r="T317" s="176"/>
      <c r="U317" s="172"/>
      <c r="V317" s="169"/>
      <c r="W317" s="119"/>
      <c r="X317" s="119"/>
    </row>
    <row r="318" spans="13:24" ht="13" thickBot="1" x14ac:dyDescent="0.4">
      <c r="M318" s="121"/>
      <c r="S318" s="175"/>
      <c r="T318" s="176"/>
      <c r="U318" s="172"/>
      <c r="V318" s="169"/>
      <c r="W318" s="119"/>
      <c r="X318" s="119"/>
    </row>
    <row r="319" spans="13:24" ht="13" thickBot="1" x14ac:dyDescent="0.4">
      <c r="M319" s="121"/>
      <c r="S319" s="175"/>
      <c r="T319" s="176"/>
      <c r="U319" s="172"/>
      <c r="V319" s="169"/>
      <c r="W319" s="119"/>
      <c r="X319" s="119"/>
    </row>
    <row r="320" spans="13:24" ht="13" thickBot="1" x14ac:dyDescent="0.4">
      <c r="M320" s="121"/>
      <c r="S320" s="175"/>
      <c r="T320" s="176"/>
      <c r="U320" s="172"/>
      <c r="V320" s="169"/>
      <c r="W320" s="119"/>
      <c r="X320" s="119"/>
    </row>
    <row r="321" spans="13:24" ht="13" thickBot="1" x14ac:dyDescent="0.4">
      <c r="M321" s="121"/>
      <c r="S321" s="175"/>
      <c r="T321" s="176"/>
      <c r="U321" s="172"/>
      <c r="V321" s="169"/>
      <c r="W321" s="119"/>
      <c r="X321" s="119"/>
    </row>
    <row r="322" spans="13:24" ht="13" thickBot="1" x14ac:dyDescent="0.4">
      <c r="M322" s="121"/>
      <c r="S322" s="175"/>
      <c r="T322" s="176"/>
      <c r="U322" s="172"/>
      <c r="V322" s="169"/>
      <c r="W322" s="119"/>
      <c r="X322" s="119"/>
    </row>
    <row r="323" spans="13:24" ht="13" thickBot="1" x14ac:dyDescent="0.4">
      <c r="M323" s="121"/>
      <c r="S323" s="175"/>
      <c r="T323" s="176"/>
      <c r="U323" s="172"/>
      <c r="V323" s="169"/>
      <c r="W323" s="119"/>
      <c r="X323" s="119"/>
    </row>
    <row r="324" spans="13:24" ht="13" thickBot="1" x14ac:dyDescent="0.4">
      <c r="M324" s="121"/>
      <c r="S324" s="175"/>
      <c r="T324" s="176"/>
      <c r="U324" s="172"/>
      <c r="V324" s="169"/>
      <c r="W324" s="119"/>
      <c r="X324" s="119"/>
    </row>
    <row r="325" spans="13:24" ht="13" thickBot="1" x14ac:dyDescent="0.4">
      <c r="M325" s="121"/>
      <c r="S325" s="175"/>
      <c r="T325" s="176"/>
      <c r="U325" s="172"/>
      <c r="V325" s="169"/>
      <c r="W325" s="119"/>
      <c r="X325" s="119"/>
    </row>
    <row r="326" spans="13:24" ht="13" thickBot="1" x14ac:dyDescent="0.4">
      <c r="M326" s="121"/>
      <c r="S326" s="175"/>
      <c r="T326" s="176"/>
      <c r="U326" s="172"/>
      <c r="V326" s="169"/>
      <c r="W326" s="119"/>
      <c r="X326" s="119"/>
    </row>
    <row r="327" spans="13:24" ht="13" thickBot="1" x14ac:dyDescent="0.4">
      <c r="M327" s="121"/>
      <c r="S327" s="175"/>
      <c r="T327" s="176"/>
      <c r="U327" s="172"/>
      <c r="V327" s="169"/>
      <c r="W327" s="119"/>
      <c r="X327" s="119"/>
    </row>
    <row r="328" spans="13:24" ht="13" thickBot="1" x14ac:dyDescent="0.4">
      <c r="M328" s="121"/>
      <c r="S328" s="175"/>
      <c r="T328" s="176"/>
      <c r="U328" s="172"/>
      <c r="V328" s="169"/>
      <c r="W328" s="119"/>
      <c r="X328" s="119"/>
    </row>
    <row r="329" spans="13:24" ht="13" thickBot="1" x14ac:dyDescent="0.4">
      <c r="M329" s="121"/>
      <c r="S329" s="175"/>
      <c r="T329" s="176"/>
      <c r="U329" s="172"/>
      <c r="V329" s="169"/>
      <c r="W329" s="119"/>
      <c r="X329" s="119"/>
    </row>
    <row r="330" spans="13:24" ht="13" thickBot="1" x14ac:dyDescent="0.4">
      <c r="M330" s="121"/>
      <c r="S330" s="175"/>
      <c r="T330" s="176"/>
      <c r="U330" s="172"/>
      <c r="V330" s="169"/>
      <c r="W330" s="119"/>
      <c r="X330" s="119"/>
    </row>
    <row r="331" spans="13:24" ht="13" thickBot="1" x14ac:dyDescent="0.4">
      <c r="M331" s="121"/>
      <c r="S331" s="175"/>
      <c r="T331" s="176"/>
      <c r="U331" s="172"/>
      <c r="V331" s="169"/>
      <c r="W331" s="119"/>
      <c r="X331" s="119"/>
    </row>
    <row r="332" spans="13:24" ht="13" thickBot="1" x14ac:dyDescent="0.4">
      <c r="M332" s="121"/>
      <c r="S332" s="175"/>
      <c r="T332" s="176"/>
      <c r="U332" s="172"/>
      <c r="V332" s="169"/>
      <c r="W332" s="119"/>
      <c r="X332" s="119"/>
    </row>
    <row r="333" spans="13:24" ht="13" thickBot="1" x14ac:dyDescent="0.4">
      <c r="M333" s="121"/>
      <c r="S333" s="175"/>
      <c r="T333" s="176"/>
      <c r="U333" s="172"/>
      <c r="V333" s="169"/>
      <c r="W333" s="119"/>
      <c r="X333" s="119"/>
    </row>
    <row r="334" spans="13:24" ht="13" thickBot="1" x14ac:dyDescent="0.4">
      <c r="M334" s="121"/>
      <c r="S334" s="175"/>
      <c r="T334" s="176"/>
      <c r="U334" s="172"/>
      <c r="V334" s="169"/>
      <c r="W334" s="119"/>
      <c r="X334" s="119"/>
    </row>
    <row r="335" spans="13:24" ht="13" thickBot="1" x14ac:dyDescent="0.4">
      <c r="M335" s="121"/>
      <c r="S335" s="175"/>
      <c r="T335" s="176"/>
      <c r="U335" s="172"/>
      <c r="V335" s="169"/>
      <c r="W335" s="119"/>
      <c r="X335" s="119"/>
    </row>
    <row r="336" spans="13:24" ht="13" thickBot="1" x14ac:dyDescent="0.4">
      <c r="M336" s="121"/>
      <c r="S336" s="175"/>
      <c r="T336" s="176"/>
      <c r="U336" s="172"/>
      <c r="V336" s="169"/>
      <c r="W336" s="119"/>
      <c r="X336" s="119"/>
    </row>
    <row r="337" spans="13:24" ht="13" thickBot="1" x14ac:dyDescent="0.4">
      <c r="M337" s="121"/>
      <c r="S337" s="175"/>
      <c r="T337" s="176"/>
      <c r="U337" s="172"/>
      <c r="V337" s="169"/>
      <c r="W337" s="119"/>
      <c r="X337" s="119"/>
    </row>
    <row r="338" spans="13:24" ht="13" thickBot="1" x14ac:dyDescent="0.4">
      <c r="M338" s="121"/>
      <c r="S338" s="175"/>
      <c r="T338" s="176"/>
      <c r="U338" s="172"/>
      <c r="V338" s="169"/>
      <c r="W338" s="119"/>
      <c r="X338" s="119"/>
    </row>
    <row r="339" spans="13:24" ht="13" thickBot="1" x14ac:dyDescent="0.4">
      <c r="M339" s="121"/>
      <c r="S339" s="175"/>
      <c r="T339" s="176"/>
      <c r="U339" s="172"/>
      <c r="V339" s="169"/>
      <c r="W339" s="119"/>
      <c r="X339" s="119"/>
    </row>
    <row r="340" spans="13:24" ht="13" thickBot="1" x14ac:dyDescent="0.4">
      <c r="M340" s="121"/>
      <c r="S340" s="175"/>
      <c r="T340" s="176"/>
      <c r="U340" s="172"/>
      <c r="V340" s="169"/>
      <c r="W340" s="119"/>
      <c r="X340" s="119"/>
    </row>
    <row r="341" spans="13:24" ht="13" thickBot="1" x14ac:dyDescent="0.4">
      <c r="M341" s="121"/>
      <c r="S341" s="175"/>
      <c r="T341" s="176"/>
      <c r="U341" s="172"/>
      <c r="V341" s="169"/>
      <c r="W341" s="119"/>
      <c r="X341" s="119"/>
    </row>
    <row r="342" spans="13:24" ht="13" thickBot="1" x14ac:dyDescent="0.4">
      <c r="M342" s="121"/>
      <c r="S342" s="175"/>
      <c r="T342" s="176"/>
      <c r="U342" s="172"/>
      <c r="V342" s="169"/>
      <c r="W342" s="119"/>
      <c r="X342" s="119"/>
    </row>
    <row r="343" spans="13:24" ht="13" thickBot="1" x14ac:dyDescent="0.4">
      <c r="M343" s="121"/>
      <c r="S343" s="175"/>
      <c r="T343" s="176"/>
      <c r="U343" s="172"/>
      <c r="V343" s="169"/>
      <c r="W343" s="119"/>
      <c r="X343" s="119"/>
    </row>
    <row r="344" spans="13:24" ht="13" thickBot="1" x14ac:dyDescent="0.4">
      <c r="M344" s="121"/>
      <c r="S344" s="175"/>
      <c r="T344" s="176"/>
      <c r="U344" s="172"/>
      <c r="V344" s="169"/>
      <c r="W344" s="119"/>
      <c r="X344" s="119"/>
    </row>
    <row r="345" spans="13:24" ht="13" thickBot="1" x14ac:dyDescent="0.4">
      <c r="M345" s="121"/>
      <c r="S345" s="175"/>
      <c r="T345" s="176"/>
      <c r="U345" s="172"/>
      <c r="V345" s="169"/>
      <c r="W345" s="119"/>
      <c r="X345" s="119"/>
    </row>
    <row r="346" spans="13:24" ht="13" thickBot="1" x14ac:dyDescent="0.4">
      <c r="M346" s="121"/>
      <c r="S346" s="175"/>
      <c r="T346" s="176"/>
      <c r="U346" s="172"/>
      <c r="V346" s="169"/>
      <c r="W346" s="119"/>
      <c r="X346" s="119"/>
    </row>
    <row r="347" spans="13:24" ht="13" thickBot="1" x14ac:dyDescent="0.4">
      <c r="M347" s="121"/>
      <c r="S347" s="175"/>
      <c r="T347" s="176"/>
      <c r="U347" s="172"/>
      <c r="V347" s="169"/>
      <c r="W347" s="119"/>
      <c r="X347" s="119"/>
    </row>
    <row r="348" spans="13:24" ht="13" thickBot="1" x14ac:dyDescent="0.4">
      <c r="M348" s="121"/>
      <c r="S348" s="175"/>
      <c r="T348" s="176"/>
      <c r="U348" s="172"/>
      <c r="V348" s="169"/>
      <c r="W348" s="119"/>
      <c r="X348" s="119"/>
    </row>
    <row r="349" spans="13:24" ht="13" thickBot="1" x14ac:dyDescent="0.4">
      <c r="M349" s="121"/>
      <c r="S349" s="175"/>
      <c r="T349" s="176"/>
      <c r="U349" s="172"/>
      <c r="V349" s="169"/>
      <c r="W349" s="119"/>
      <c r="X349" s="119"/>
    </row>
    <row r="350" spans="13:24" ht="13" thickBot="1" x14ac:dyDescent="0.4">
      <c r="M350" s="121"/>
      <c r="S350" s="175"/>
      <c r="T350" s="176"/>
      <c r="U350" s="172"/>
      <c r="V350" s="169"/>
      <c r="W350" s="119"/>
      <c r="X350" s="119"/>
    </row>
    <row r="351" spans="13:24" ht="13" thickBot="1" x14ac:dyDescent="0.4">
      <c r="M351" s="121"/>
      <c r="S351" s="175"/>
      <c r="T351" s="176"/>
      <c r="U351" s="172"/>
      <c r="V351" s="169"/>
      <c r="W351" s="119"/>
      <c r="X351" s="119"/>
    </row>
    <row r="352" spans="13:24" ht="13" thickBot="1" x14ac:dyDescent="0.4">
      <c r="M352" s="121"/>
      <c r="S352" s="175"/>
      <c r="T352" s="176"/>
      <c r="U352" s="172"/>
      <c r="V352" s="169"/>
      <c r="W352" s="119"/>
      <c r="X352" s="119"/>
    </row>
    <row r="353" spans="13:24" ht="13" thickBot="1" x14ac:dyDescent="0.4">
      <c r="M353" s="121"/>
      <c r="S353" s="175"/>
      <c r="T353" s="176"/>
      <c r="U353" s="172"/>
      <c r="V353" s="169"/>
      <c r="W353" s="119"/>
      <c r="X353" s="119"/>
    </row>
    <row r="354" spans="13:24" ht="13" thickBot="1" x14ac:dyDescent="0.4">
      <c r="M354" s="121"/>
      <c r="S354" s="175"/>
      <c r="T354" s="176"/>
      <c r="U354" s="172"/>
      <c r="V354" s="169"/>
      <c r="W354" s="119"/>
      <c r="X354" s="119"/>
    </row>
    <row r="355" spans="13:24" ht="13" thickBot="1" x14ac:dyDescent="0.4">
      <c r="M355" s="121"/>
      <c r="S355" s="175"/>
      <c r="T355" s="176"/>
      <c r="U355" s="172"/>
      <c r="V355" s="169"/>
      <c r="W355" s="119"/>
      <c r="X355" s="119"/>
    </row>
    <row r="356" spans="13:24" ht="13" thickBot="1" x14ac:dyDescent="0.4">
      <c r="M356" s="121"/>
      <c r="S356" s="175"/>
      <c r="T356" s="176"/>
      <c r="U356" s="172"/>
      <c r="V356" s="169"/>
      <c r="W356" s="119"/>
      <c r="X356" s="119"/>
    </row>
    <row r="357" spans="13:24" ht="13" thickBot="1" x14ac:dyDescent="0.4">
      <c r="M357" s="121"/>
      <c r="S357" s="175"/>
      <c r="T357" s="176"/>
      <c r="U357" s="172"/>
      <c r="V357" s="169"/>
      <c r="W357" s="119"/>
      <c r="X357" s="119"/>
    </row>
    <row r="358" spans="13:24" ht="13" thickBot="1" x14ac:dyDescent="0.4">
      <c r="M358" s="121"/>
      <c r="S358" s="175"/>
      <c r="T358" s="176"/>
      <c r="U358" s="172"/>
      <c r="V358" s="169"/>
      <c r="W358" s="119"/>
      <c r="X358" s="119"/>
    </row>
    <row r="359" spans="13:24" ht="13" thickBot="1" x14ac:dyDescent="0.4">
      <c r="M359" s="121"/>
      <c r="S359" s="175"/>
      <c r="T359" s="176"/>
      <c r="U359" s="172"/>
      <c r="V359" s="169"/>
      <c r="W359" s="119"/>
      <c r="X359" s="119"/>
    </row>
    <row r="360" spans="13:24" ht="13" thickBot="1" x14ac:dyDescent="0.4">
      <c r="M360" s="121"/>
      <c r="S360" s="175"/>
      <c r="T360" s="176"/>
      <c r="U360" s="172"/>
      <c r="V360" s="169"/>
      <c r="W360" s="119"/>
      <c r="X360" s="119"/>
    </row>
    <row r="361" spans="13:24" ht="13" thickBot="1" x14ac:dyDescent="0.4">
      <c r="M361" s="121"/>
      <c r="S361" s="175"/>
      <c r="T361" s="176"/>
      <c r="U361" s="172"/>
      <c r="V361" s="169"/>
      <c r="W361" s="119"/>
      <c r="X361" s="119"/>
    </row>
    <row r="362" spans="13:24" ht="13" thickBot="1" x14ac:dyDescent="0.4">
      <c r="M362" s="121"/>
      <c r="S362" s="175"/>
      <c r="T362" s="176"/>
      <c r="U362" s="172"/>
      <c r="V362" s="169"/>
      <c r="W362" s="119"/>
      <c r="X362" s="119"/>
    </row>
    <row r="363" spans="13:24" ht="13" thickBot="1" x14ac:dyDescent="0.4">
      <c r="M363" s="121"/>
      <c r="S363" s="175"/>
      <c r="T363" s="176"/>
      <c r="U363" s="172"/>
      <c r="V363" s="169"/>
      <c r="W363" s="119"/>
      <c r="X363" s="119"/>
    </row>
    <row r="364" spans="13:24" ht="13" thickBot="1" x14ac:dyDescent="0.4">
      <c r="M364" s="121"/>
      <c r="S364" s="175"/>
      <c r="T364" s="176"/>
      <c r="U364" s="172"/>
      <c r="V364" s="169"/>
      <c r="W364" s="119"/>
      <c r="X364" s="119"/>
    </row>
    <row r="365" spans="13:24" ht="13" thickBot="1" x14ac:dyDescent="0.4">
      <c r="M365" s="121"/>
      <c r="S365" s="175"/>
      <c r="T365" s="176"/>
      <c r="U365" s="172"/>
      <c r="V365" s="169"/>
      <c r="W365" s="119"/>
      <c r="X365" s="119"/>
    </row>
    <row r="366" spans="13:24" ht="13" thickBot="1" x14ac:dyDescent="0.4">
      <c r="M366" s="121"/>
      <c r="S366" s="175"/>
      <c r="T366" s="176"/>
      <c r="U366" s="172"/>
      <c r="V366" s="169"/>
      <c r="W366" s="119"/>
      <c r="X366" s="119"/>
    </row>
    <row r="367" spans="13:24" ht="13" thickBot="1" x14ac:dyDescent="0.4">
      <c r="M367" s="121"/>
      <c r="S367" s="175"/>
      <c r="T367" s="176"/>
      <c r="U367" s="172"/>
      <c r="V367" s="169"/>
      <c r="W367" s="119"/>
      <c r="X367" s="119"/>
    </row>
    <row r="368" spans="13:24" ht="13" thickBot="1" x14ac:dyDescent="0.4">
      <c r="M368" s="121"/>
      <c r="S368" s="175"/>
      <c r="T368" s="176"/>
      <c r="U368" s="172"/>
      <c r="V368" s="169"/>
      <c r="W368" s="119"/>
      <c r="X368" s="119"/>
    </row>
    <row r="369" spans="13:24" ht="13" thickBot="1" x14ac:dyDescent="0.4">
      <c r="M369" s="121"/>
      <c r="S369" s="175"/>
      <c r="T369" s="176"/>
      <c r="U369" s="172"/>
      <c r="V369" s="169"/>
      <c r="W369" s="119"/>
      <c r="X369" s="119"/>
    </row>
    <row r="370" spans="13:24" ht="13" thickBot="1" x14ac:dyDescent="0.4">
      <c r="M370" s="121"/>
      <c r="S370" s="175"/>
      <c r="T370" s="176"/>
      <c r="U370" s="172"/>
      <c r="V370" s="169"/>
      <c r="W370" s="119"/>
      <c r="X370" s="119"/>
    </row>
    <row r="371" spans="13:24" ht="13" thickBot="1" x14ac:dyDescent="0.4">
      <c r="M371" s="121"/>
      <c r="S371" s="175"/>
      <c r="T371" s="176"/>
      <c r="U371" s="172"/>
      <c r="V371" s="169"/>
      <c r="W371" s="119"/>
      <c r="X371" s="119"/>
    </row>
    <row r="372" spans="13:24" ht="13" thickBot="1" x14ac:dyDescent="0.4">
      <c r="M372" s="121"/>
      <c r="S372" s="175"/>
      <c r="T372" s="176"/>
      <c r="U372" s="172"/>
      <c r="V372" s="169"/>
      <c r="W372" s="119"/>
      <c r="X372" s="119"/>
    </row>
    <row r="373" spans="13:24" ht="13" thickBot="1" x14ac:dyDescent="0.4">
      <c r="M373" s="121"/>
      <c r="S373" s="175"/>
      <c r="T373" s="176"/>
      <c r="U373" s="172"/>
      <c r="V373" s="169"/>
      <c r="W373" s="119"/>
      <c r="X373" s="119"/>
    </row>
    <row r="374" spans="13:24" ht="13" thickBot="1" x14ac:dyDescent="0.4">
      <c r="M374" s="121"/>
      <c r="S374" s="175"/>
      <c r="T374" s="176"/>
      <c r="U374" s="172"/>
      <c r="V374" s="169"/>
      <c r="W374" s="119"/>
      <c r="X374" s="119"/>
    </row>
    <row r="375" spans="13:24" ht="13" thickBot="1" x14ac:dyDescent="0.4">
      <c r="M375" s="121"/>
      <c r="S375" s="175"/>
      <c r="T375" s="176"/>
      <c r="U375" s="172"/>
      <c r="V375" s="169"/>
      <c r="W375" s="119"/>
      <c r="X375" s="119"/>
    </row>
    <row r="376" spans="13:24" ht="13" thickBot="1" x14ac:dyDescent="0.4">
      <c r="M376" s="121"/>
      <c r="S376" s="175"/>
      <c r="T376" s="176"/>
      <c r="U376" s="172"/>
      <c r="V376" s="169"/>
      <c r="W376" s="119"/>
      <c r="X376" s="119"/>
    </row>
    <row r="377" spans="13:24" ht="13" thickBot="1" x14ac:dyDescent="0.4">
      <c r="M377" s="121"/>
      <c r="S377" s="175"/>
      <c r="T377" s="176"/>
      <c r="U377" s="172"/>
      <c r="V377" s="169"/>
      <c r="W377" s="119"/>
      <c r="X377" s="119"/>
    </row>
    <row r="378" spans="13:24" ht="13" thickBot="1" x14ac:dyDescent="0.4">
      <c r="M378" s="121"/>
      <c r="S378" s="175"/>
      <c r="T378" s="176"/>
      <c r="U378" s="172"/>
      <c r="V378" s="169"/>
      <c r="W378" s="119"/>
      <c r="X378" s="119"/>
    </row>
    <row r="379" spans="13:24" ht="13" thickBot="1" x14ac:dyDescent="0.4">
      <c r="M379" s="121"/>
      <c r="S379" s="175"/>
      <c r="T379" s="176"/>
      <c r="U379" s="172"/>
      <c r="V379" s="169"/>
      <c r="W379" s="119"/>
      <c r="X379" s="119"/>
    </row>
    <row r="380" spans="13:24" ht="13" thickBot="1" x14ac:dyDescent="0.4">
      <c r="M380" s="121"/>
      <c r="S380" s="175"/>
      <c r="T380" s="176"/>
      <c r="U380" s="172"/>
      <c r="V380" s="169"/>
      <c r="W380" s="119"/>
      <c r="X380" s="119"/>
    </row>
    <row r="381" spans="13:24" ht="13" thickBot="1" x14ac:dyDescent="0.4">
      <c r="M381" s="121"/>
      <c r="S381" s="175"/>
      <c r="T381" s="176"/>
      <c r="U381" s="172"/>
      <c r="V381" s="169"/>
      <c r="W381" s="119"/>
      <c r="X381" s="119"/>
    </row>
    <row r="382" spans="13:24" ht="13" thickBot="1" x14ac:dyDescent="0.4">
      <c r="M382" s="121"/>
      <c r="S382" s="175"/>
      <c r="T382" s="176"/>
      <c r="U382" s="172"/>
      <c r="V382" s="169"/>
      <c r="W382" s="119"/>
      <c r="X382" s="119"/>
    </row>
    <row r="383" spans="13:24" ht="13" thickBot="1" x14ac:dyDescent="0.4">
      <c r="M383" s="121"/>
      <c r="S383" s="175"/>
      <c r="T383" s="176"/>
      <c r="U383" s="172"/>
      <c r="V383" s="169"/>
      <c r="W383" s="119"/>
      <c r="X383" s="119"/>
    </row>
    <row r="384" spans="13:24" ht="13" thickBot="1" x14ac:dyDescent="0.4">
      <c r="M384" s="121"/>
      <c r="S384" s="175"/>
      <c r="T384" s="176"/>
      <c r="U384" s="172"/>
      <c r="V384" s="169"/>
      <c r="W384" s="119"/>
      <c r="X384" s="119"/>
    </row>
    <row r="385" spans="13:24" ht="13" thickBot="1" x14ac:dyDescent="0.4">
      <c r="M385" s="121"/>
      <c r="S385" s="175"/>
      <c r="T385" s="176"/>
      <c r="U385" s="172"/>
      <c r="V385" s="169"/>
      <c r="W385" s="119"/>
      <c r="X385" s="119"/>
    </row>
    <row r="386" spans="13:24" ht="13" thickBot="1" x14ac:dyDescent="0.4">
      <c r="M386" s="121"/>
      <c r="S386" s="175"/>
      <c r="T386" s="176"/>
      <c r="U386" s="172"/>
      <c r="V386" s="169"/>
      <c r="W386" s="119"/>
      <c r="X386" s="119"/>
    </row>
    <row r="387" spans="13:24" ht="13" thickBot="1" x14ac:dyDescent="0.4">
      <c r="M387" s="121"/>
      <c r="S387" s="175"/>
      <c r="T387" s="176"/>
      <c r="U387" s="172"/>
      <c r="V387" s="169"/>
      <c r="W387" s="119"/>
      <c r="X387" s="119"/>
    </row>
    <row r="388" spans="13:24" ht="13" thickBot="1" x14ac:dyDescent="0.4">
      <c r="M388" s="121"/>
      <c r="S388" s="175"/>
      <c r="T388" s="176"/>
      <c r="U388" s="172"/>
      <c r="V388" s="169"/>
      <c r="W388" s="119"/>
      <c r="X388" s="119"/>
    </row>
    <row r="389" spans="13:24" ht="13" thickBot="1" x14ac:dyDescent="0.4">
      <c r="M389" s="121"/>
      <c r="S389" s="175"/>
      <c r="T389" s="176"/>
      <c r="U389" s="172"/>
      <c r="V389" s="169"/>
      <c r="W389" s="119"/>
      <c r="X389" s="119"/>
    </row>
    <row r="390" spans="13:24" ht="13" thickBot="1" x14ac:dyDescent="0.4">
      <c r="M390" s="121"/>
      <c r="S390" s="175"/>
      <c r="T390" s="176"/>
      <c r="U390" s="172"/>
      <c r="V390" s="169"/>
      <c r="W390" s="119"/>
      <c r="X390" s="119"/>
    </row>
    <row r="391" spans="13:24" ht="13" thickBot="1" x14ac:dyDescent="0.4">
      <c r="M391" s="121"/>
      <c r="S391" s="175"/>
      <c r="T391" s="176"/>
      <c r="U391" s="172"/>
      <c r="V391" s="169"/>
      <c r="W391" s="119"/>
      <c r="X391" s="119"/>
    </row>
    <row r="392" spans="13:24" ht="13" thickBot="1" x14ac:dyDescent="0.4">
      <c r="M392" s="121"/>
      <c r="S392" s="175"/>
      <c r="T392" s="176"/>
      <c r="U392" s="172"/>
      <c r="V392" s="169"/>
      <c r="W392" s="119"/>
      <c r="X392" s="119"/>
    </row>
    <row r="393" spans="13:24" ht="13" thickBot="1" x14ac:dyDescent="0.4">
      <c r="M393" s="121"/>
      <c r="S393" s="175"/>
      <c r="T393" s="176"/>
      <c r="U393" s="172"/>
      <c r="V393" s="169"/>
      <c r="W393" s="119"/>
      <c r="X393" s="119"/>
    </row>
    <row r="394" spans="13:24" ht="13" thickBot="1" x14ac:dyDescent="0.4">
      <c r="M394" s="121"/>
      <c r="S394" s="175"/>
      <c r="T394" s="176"/>
      <c r="U394" s="172"/>
      <c r="V394" s="169"/>
      <c r="W394" s="119"/>
      <c r="X394" s="119"/>
    </row>
    <row r="395" spans="13:24" ht="13" thickBot="1" x14ac:dyDescent="0.4">
      <c r="M395" s="121"/>
      <c r="S395" s="175"/>
      <c r="T395" s="176"/>
      <c r="U395" s="172"/>
      <c r="V395" s="169"/>
      <c r="W395" s="119"/>
      <c r="X395" s="119"/>
    </row>
    <row r="396" spans="13:24" ht="13" thickBot="1" x14ac:dyDescent="0.4">
      <c r="M396" s="121"/>
      <c r="S396" s="175"/>
      <c r="T396" s="176"/>
      <c r="U396" s="172"/>
      <c r="V396" s="169"/>
      <c r="W396" s="119"/>
      <c r="X396" s="119"/>
    </row>
    <row r="397" spans="13:24" ht="13" thickBot="1" x14ac:dyDescent="0.4">
      <c r="M397" s="121"/>
      <c r="S397" s="175"/>
      <c r="T397" s="176"/>
      <c r="U397" s="172"/>
      <c r="V397" s="169"/>
      <c r="W397" s="119"/>
      <c r="X397" s="119"/>
    </row>
    <row r="398" spans="13:24" ht="13" thickBot="1" x14ac:dyDescent="0.4">
      <c r="M398" s="121"/>
      <c r="S398" s="175"/>
      <c r="T398" s="176"/>
      <c r="U398" s="172"/>
      <c r="V398" s="169"/>
      <c r="W398" s="119"/>
      <c r="X398" s="119"/>
    </row>
    <row r="399" spans="13:24" ht="13" thickBot="1" x14ac:dyDescent="0.4">
      <c r="M399" s="121"/>
      <c r="S399" s="175"/>
      <c r="T399" s="176"/>
      <c r="U399" s="172"/>
      <c r="V399" s="169"/>
      <c r="W399" s="119"/>
      <c r="X399" s="119"/>
    </row>
    <row r="400" spans="13:24" ht="13" thickBot="1" x14ac:dyDescent="0.4">
      <c r="M400" s="121"/>
      <c r="S400" s="175"/>
      <c r="T400" s="176"/>
      <c r="U400" s="172"/>
      <c r="V400" s="169"/>
      <c r="W400" s="119"/>
      <c r="X400" s="119"/>
    </row>
    <row r="401" spans="13:24" ht="13" thickBot="1" x14ac:dyDescent="0.4">
      <c r="M401" s="121"/>
      <c r="S401" s="175"/>
      <c r="T401" s="176"/>
      <c r="U401" s="172"/>
      <c r="V401" s="169"/>
      <c r="W401" s="119"/>
      <c r="X401" s="119"/>
    </row>
    <row r="402" spans="13:24" ht="13" thickBot="1" x14ac:dyDescent="0.4">
      <c r="M402" s="121"/>
      <c r="S402" s="175"/>
      <c r="T402" s="176"/>
      <c r="U402" s="172"/>
      <c r="V402" s="169"/>
      <c r="W402" s="119"/>
      <c r="X402" s="119"/>
    </row>
    <row r="403" spans="13:24" ht="13" thickBot="1" x14ac:dyDescent="0.4">
      <c r="M403" s="121"/>
      <c r="S403" s="175"/>
      <c r="T403" s="176"/>
      <c r="U403" s="172"/>
      <c r="V403" s="169"/>
      <c r="W403" s="119"/>
      <c r="X403" s="119"/>
    </row>
    <row r="404" spans="13:24" ht="13" thickBot="1" x14ac:dyDescent="0.4">
      <c r="M404" s="121"/>
      <c r="S404" s="175"/>
      <c r="T404" s="176"/>
      <c r="U404" s="172"/>
      <c r="V404" s="169"/>
      <c r="W404" s="119"/>
      <c r="X404" s="119"/>
    </row>
    <row r="405" spans="13:24" ht="13" thickBot="1" x14ac:dyDescent="0.4">
      <c r="M405" s="121"/>
      <c r="S405" s="175"/>
      <c r="T405" s="176"/>
      <c r="U405" s="172"/>
      <c r="V405" s="169"/>
      <c r="W405" s="119"/>
      <c r="X405" s="119"/>
    </row>
    <row r="406" spans="13:24" ht="13" thickBot="1" x14ac:dyDescent="0.4">
      <c r="M406" s="121"/>
      <c r="S406" s="175"/>
      <c r="T406" s="176"/>
      <c r="U406" s="172"/>
      <c r="V406" s="169"/>
      <c r="W406" s="119"/>
      <c r="X406" s="119"/>
    </row>
    <row r="407" spans="13:24" ht="13" thickBot="1" x14ac:dyDescent="0.4">
      <c r="M407" s="121"/>
      <c r="S407" s="175"/>
      <c r="T407" s="176"/>
      <c r="U407" s="172"/>
      <c r="V407" s="169"/>
      <c r="W407" s="119"/>
      <c r="X407" s="119"/>
    </row>
    <row r="408" spans="13:24" ht="13" thickBot="1" x14ac:dyDescent="0.4">
      <c r="M408" s="121"/>
      <c r="S408" s="175"/>
      <c r="T408" s="176"/>
      <c r="U408" s="172"/>
      <c r="V408" s="169"/>
      <c r="W408" s="119"/>
      <c r="X408" s="119"/>
    </row>
    <row r="409" spans="13:24" ht="13" thickBot="1" x14ac:dyDescent="0.4">
      <c r="M409" s="121"/>
      <c r="S409" s="175"/>
      <c r="T409" s="176"/>
      <c r="U409" s="172"/>
      <c r="V409" s="169"/>
      <c r="W409" s="119"/>
      <c r="X409" s="119"/>
    </row>
    <row r="410" spans="13:24" ht="13" thickBot="1" x14ac:dyDescent="0.4">
      <c r="M410" s="121"/>
      <c r="S410" s="175"/>
      <c r="T410" s="176"/>
      <c r="U410" s="172"/>
      <c r="V410" s="169"/>
      <c r="W410" s="119"/>
      <c r="X410" s="119"/>
    </row>
    <row r="411" spans="13:24" ht="13" thickBot="1" x14ac:dyDescent="0.4">
      <c r="M411" s="121"/>
      <c r="S411" s="175"/>
      <c r="T411" s="176"/>
      <c r="U411" s="172"/>
      <c r="V411" s="169"/>
      <c r="W411" s="119"/>
      <c r="X411" s="119"/>
    </row>
    <row r="412" spans="13:24" ht="13" thickBot="1" x14ac:dyDescent="0.4">
      <c r="M412" s="121"/>
      <c r="S412" s="175"/>
      <c r="T412" s="176"/>
      <c r="U412" s="172"/>
      <c r="V412" s="169"/>
      <c r="W412" s="119"/>
      <c r="X412" s="119"/>
    </row>
    <row r="413" spans="13:24" ht="13" thickBot="1" x14ac:dyDescent="0.4">
      <c r="M413" s="121"/>
      <c r="S413" s="175"/>
      <c r="T413" s="176"/>
      <c r="U413" s="172"/>
      <c r="V413" s="169"/>
      <c r="W413" s="119"/>
      <c r="X413" s="119"/>
    </row>
    <row r="414" spans="13:24" ht="13" thickBot="1" x14ac:dyDescent="0.4">
      <c r="M414" s="121"/>
      <c r="S414" s="175"/>
      <c r="T414" s="176"/>
      <c r="U414" s="172"/>
      <c r="V414" s="169"/>
      <c r="W414" s="119"/>
      <c r="X414" s="119"/>
    </row>
    <row r="415" spans="13:24" ht="13" thickBot="1" x14ac:dyDescent="0.4">
      <c r="M415" s="121"/>
      <c r="S415" s="175"/>
      <c r="T415" s="176"/>
      <c r="U415" s="172"/>
      <c r="V415" s="169"/>
      <c r="W415" s="119"/>
      <c r="X415" s="119"/>
    </row>
    <row r="416" spans="13:24" ht="13" thickBot="1" x14ac:dyDescent="0.4">
      <c r="M416" s="121"/>
      <c r="S416" s="175"/>
      <c r="T416" s="176"/>
      <c r="U416" s="172"/>
      <c r="V416" s="169"/>
      <c r="W416" s="119"/>
      <c r="X416" s="119"/>
    </row>
    <row r="417" spans="13:24" ht="13" thickBot="1" x14ac:dyDescent="0.4">
      <c r="M417" s="121"/>
      <c r="S417" s="175"/>
      <c r="T417" s="176"/>
      <c r="U417" s="172"/>
      <c r="V417" s="169"/>
      <c r="W417" s="119"/>
      <c r="X417" s="119"/>
    </row>
    <row r="418" spans="13:24" ht="13" thickBot="1" x14ac:dyDescent="0.4">
      <c r="M418" s="121"/>
      <c r="S418" s="175"/>
      <c r="T418" s="176"/>
      <c r="U418" s="172"/>
      <c r="V418" s="169"/>
      <c r="W418" s="119"/>
      <c r="X418" s="119"/>
    </row>
    <row r="419" spans="13:24" ht="13" thickBot="1" x14ac:dyDescent="0.4">
      <c r="M419" s="121"/>
      <c r="S419" s="175"/>
      <c r="T419" s="176"/>
      <c r="U419" s="172"/>
      <c r="V419" s="169"/>
      <c r="W419" s="119"/>
      <c r="X419" s="119"/>
    </row>
    <row r="420" spans="13:24" ht="13" thickBot="1" x14ac:dyDescent="0.4">
      <c r="M420" s="121"/>
      <c r="S420" s="175"/>
      <c r="T420" s="176"/>
      <c r="U420" s="172"/>
      <c r="V420" s="169"/>
      <c r="W420" s="119"/>
      <c r="X420" s="119"/>
    </row>
    <row r="421" spans="13:24" ht="13" thickBot="1" x14ac:dyDescent="0.4">
      <c r="M421" s="121"/>
      <c r="S421" s="175"/>
      <c r="T421" s="176"/>
      <c r="U421" s="172"/>
      <c r="V421" s="169"/>
      <c r="W421" s="119"/>
      <c r="X421" s="119"/>
    </row>
    <row r="422" spans="13:24" ht="13" thickBot="1" x14ac:dyDescent="0.4">
      <c r="M422" s="121"/>
      <c r="S422" s="175"/>
      <c r="T422" s="176"/>
      <c r="U422" s="172"/>
      <c r="V422" s="169"/>
      <c r="W422" s="119"/>
      <c r="X422" s="119"/>
    </row>
    <row r="423" spans="13:24" ht="13" thickBot="1" x14ac:dyDescent="0.4">
      <c r="M423" s="121"/>
      <c r="S423" s="175"/>
      <c r="T423" s="176"/>
      <c r="U423" s="172"/>
      <c r="V423" s="169"/>
      <c r="W423" s="119"/>
      <c r="X423" s="119"/>
    </row>
    <row r="424" spans="13:24" ht="13" thickBot="1" x14ac:dyDescent="0.4">
      <c r="M424" s="121"/>
      <c r="S424" s="175"/>
      <c r="T424" s="176"/>
      <c r="U424" s="172"/>
      <c r="V424" s="169"/>
      <c r="W424" s="119"/>
      <c r="X424" s="119"/>
    </row>
    <row r="425" spans="13:24" ht="13" thickBot="1" x14ac:dyDescent="0.4">
      <c r="M425" s="121"/>
      <c r="S425" s="175"/>
      <c r="T425" s="176"/>
      <c r="U425" s="172"/>
      <c r="V425" s="169"/>
      <c r="W425" s="119"/>
      <c r="X425" s="119"/>
    </row>
    <row r="426" spans="13:24" ht="13" thickBot="1" x14ac:dyDescent="0.4">
      <c r="M426" s="121"/>
      <c r="S426" s="175"/>
      <c r="T426" s="176"/>
      <c r="U426" s="172"/>
      <c r="V426" s="169"/>
      <c r="W426" s="119"/>
      <c r="X426" s="119"/>
    </row>
    <row r="427" spans="13:24" ht="13" thickBot="1" x14ac:dyDescent="0.4">
      <c r="M427" s="121"/>
      <c r="S427" s="175"/>
      <c r="T427" s="176"/>
      <c r="U427" s="172"/>
      <c r="V427" s="169"/>
      <c r="W427" s="119"/>
      <c r="X427" s="119"/>
    </row>
    <row r="428" spans="13:24" ht="13" thickBot="1" x14ac:dyDescent="0.4">
      <c r="M428" s="121"/>
      <c r="S428" s="175"/>
      <c r="T428" s="176"/>
      <c r="U428" s="172"/>
      <c r="V428" s="169"/>
      <c r="W428" s="119"/>
      <c r="X428" s="119"/>
    </row>
    <row r="429" spans="13:24" ht="13" thickBot="1" x14ac:dyDescent="0.4">
      <c r="M429" s="121"/>
      <c r="S429" s="175"/>
      <c r="T429" s="176"/>
      <c r="U429" s="172"/>
      <c r="V429" s="169"/>
      <c r="W429" s="119"/>
      <c r="X429" s="119"/>
    </row>
    <row r="430" spans="13:24" ht="13" thickBot="1" x14ac:dyDescent="0.4">
      <c r="M430" s="121"/>
      <c r="S430" s="175"/>
      <c r="T430" s="176"/>
      <c r="U430" s="172"/>
      <c r="V430" s="169"/>
      <c r="W430" s="119"/>
      <c r="X430" s="119"/>
    </row>
    <row r="431" spans="13:24" ht="13" thickBot="1" x14ac:dyDescent="0.4">
      <c r="M431" s="121"/>
      <c r="S431" s="175"/>
      <c r="T431" s="176"/>
      <c r="U431" s="172"/>
      <c r="V431" s="169"/>
      <c r="W431" s="119"/>
      <c r="X431" s="119"/>
    </row>
    <row r="432" spans="13:24" ht="13" thickBot="1" x14ac:dyDescent="0.4">
      <c r="M432" s="121"/>
      <c r="S432" s="175"/>
      <c r="T432" s="176"/>
      <c r="U432" s="172"/>
      <c r="V432" s="169"/>
      <c r="W432" s="119"/>
      <c r="X432" s="119"/>
    </row>
    <row r="433" spans="13:24" ht="13" thickBot="1" x14ac:dyDescent="0.4">
      <c r="M433" s="121"/>
      <c r="S433" s="175"/>
      <c r="T433" s="176"/>
      <c r="U433" s="172"/>
      <c r="V433" s="169"/>
      <c r="W433" s="119"/>
      <c r="X433" s="119"/>
    </row>
    <row r="434" spans="13:24" ht="13" thickBot="1" x14ac:dyDescent="0.4">
      <c r="M434" s="121"/>
      <c r="S434" s="175"/>
      <c r="T434" s="176"/>
      <c r="U434" s="172"/>
      <c r="V434" s="169"/>
      <c r="W434" s="119"/>
      <c r="X434" s="119"/>
    </row>
    <row r="435" spans="13:24" ht="13" thickBot="1" x14ac:dyDescent="0.4">
      <c r="M435" s="121"/>
      <c r="S435" s="175"/>
      <c r="T435" s="176"/>
      <c r="U435" s="172"/>
      <c r="V435" s="169"/>
      <c r="W435" s="119"/>
      <c r="X435" s="119"/>
    </row>
    <row r="436" spans="13:24" ht="13" thickBot="1" x14ac:dyDescent="0.4">
      <c r="M436" s="121"/>
      <c r="S436" s="175"/>
      <c r="T436" s="176"/>
      <c r="U436" s="172"/>
      <c r="V436" s="169"/>
      <c r="W436" s="119"/>
      <c r="X436" s="119"/>
    </row>
    <row r="437" spans="13:24" ht="13" thickBot="1" x14ac:dyDescent="0.4">
      <c r="M437" s="121"/>
      <c r="S437" s="175"/>
      <c r="T437" s="176"/>
      <c r="U437" s="172"/>
      <c r="V437" s="169"/>
      <c r="W437" s="119"/>
      <c r="X437" s="119"/>
    </row>
    <row r="438" spans="13:24" ht="13" thickBot="1" x14ac:dyDescent="0.4">
      <c r="M438" s="121"/>
      <c r="S438" s="175"/>
      <c r="T438" s="176"/>
      <c r="U438" s="172"/>
      <c r="V438" s="169"/>
      <c r="W438" s="119"/>
      <c r="X438" s="119"/>
    </row>
    <row r="439" spans="13:24" ht="13" thickBot="1" x14ac:dyDescent="0.4">
      <c r="M439" s="121"/>
      <c r="S439" s="175"/>
      <c r="T439" s="176"/>
      <c r="U439" s="172"/>
      <c r="V439" s="169"/>
      <c r="W439" s="119"/>
      <c r="X439" s="119"/>
    </row>
    <row r="440" spans="13:24" ht="13" thickBot="1" x14ac:dyDescent="0.4">
      <c r="M440" s="121"/>
      <c r="S440" s="175"/>
      <c r="T440" s="176"/>
      <c r="U440" s="172"/>
      <c r="V440" s="169"/>
      <c r="W440" s="119"/>
      <c r="X440" s="119"/>
    </row>
    <row r="441" spans="13:24" ht="13" thickBot="1" x14ac:dyDescent="0.4">
      <c r="M441" s="121"/>
      <c r="S441" s="175"/>
      <c r="T441" s="176"/>
      <c r="U441" s="172"/>
      <c r="V441" s="169"/>
      <c r="W441" s="119"/>
      <c r="X441" s="119"/>
    </row>
    <row r="442" spans="13:24" ht="13" thickBot="1" x14ac:dyDescent="0.4">
      <c r="M442" s="121"/>
      <c r="S442" s="175"/>
      <c r="T442" s="176"/>
      <c r="U442" s="172"/>
      <c r="V442" s="169"/>
      <c r="W442" s="119"/>
      <c r="X442" s="119"/>
    </row>
    <row r="443" spans="13:24" ht="13" thickBot="1" x14ac:dyDescent="0.4">
      <c r="M443" s="121"/>
      <c r="S443" s="175"/>
      <c r="T443" s="176"/>
      <c r="U443" s="172"/>
      <c r="V443" s="169"/>
      <c r="W443" s="119"/>
      <c r="X443" s="119"/>
    </row>
    <row r="444" spans="13:24" ht="13" thickBot="1" x14ac:dyDescent="0.4">
      <c r="M444" s="121"/>
      <c r="S444" s="175"/>
      <c r="T444" s="176"/>
      <c r="U444" s="172"/>
      <c r="V444" s="169"/>
      <c r="W444" s="119"/>
      <c r="X444" s="119"/>
    </row>
    <row r="445" spans="13:24" ht="13" thickBot="1" x14ac:dyDescent="0.4">
      <c r="M445" s="121"/>
      <c r="S445" s="175"/>
      <c r="T445" s="176"/>
      <c r="U445" s="172"/>
      <c r="V445" s="169"/>
      <c r="W445" s="119"/>
      <c r="X445" s="119"/>
    </row>
    <row r="446" spans="13:24" ht="13" thickBot="1" x14ac:dyDescent="0.4">
      <c r="M446" s="121"/>
      <c r="S446" s="175"/>
      <c r="T446" s="176"/>
      <c r="U446" s="172"/>
      <c r="V446" s="169"/>
      <c r="W446" s="119"/>
      <c r="X446" s="119"/>
    </row>
    <row r="447" spans="13:24" ht="13" thickBot="1" x14ac:dyDescent="0.4">
      <c r="M447" s="121"/>
      <c r="S447" s="175"/>
      <c r="T447" s="176"/>
      <c r="U447" s="172"/>
      <c r="V447" s="169"/>
      <c r="W447" s="119"/>
      <c r="X447" s="119"/>
    </row>
    <row r="448" spans="13:24" ht="13" thickBot="1" x14ac:dyDescent="0.4">
      <c r="M448" s="121"/>
      <c r="S448" s="175"/>
      <c r="T448" s="176"/>
      <c r="U448" s="172"/>
      <c r="V448" s="169"/>
      <c r="W448" s="119"/>
      <c r="X448" s="119"/>
    </row>
    <row r="449" spans="13:24" ht="13" thickBot="1" x14ac:dyDescent="0.4">
      <c r="M449" s="121"/>
      <c r="S449" s="175"/>
      <c r="T449" s="176"/>
      <c r="U449" s="172"/>
      <c r="V449" s="169"/>
      <c r="W449" s="119"/>
      <c r="X449" s="119"/>
    </row>
    <row r="450" spans="13:24" ht="13" thickBot="1" x14ac:dyDescent="0.4">
      <c r="M450" s="121"/>
      <c r="S450" s="175"/>
      <c r="T450" s="176"/>
      <c r="U450" s="172"/>
      <c r="V450" s="169"/>
      <c r="W450" s="119"/>
      <c r="X450" s="119"/>
    </row>
    <row r="451" spans="13:24" ht="13" thickBot="1" x14ac:dyDescent="0.4">
      <c r="M451" s="121"/>
      <c r="S451" s="175"/>
      <c r="T451" s="176"/>
      <c r="U451" s="172"/>
      <c r="V451" s="169"/>
      <c r="W451" s="119"/>
      <c r="X451" s="119"/>
    </row>
    <row r="452" spans="13:24" ht="13" thickBot="1" x14ac:dyDescent="0.4">
      <c r="M452" s="121"/>
      <c r="S452" s="175"/>
      <c r="T452" s="176"/>
      <c r="U452" s="172"/>
      <c r="V452" s="169"/>
      <c r="W452" s="119"/>
      <c r="X452" s="119"/>
    </row>
    <row r="453" spans="13:24" ht="13" thickBot="1" x14ac:dyDescent="0.4">
      <c r="M453" s="121"/>
      <c r="S453" s="175"/>
      <c r="T453" s="176"/>
      <c r="U453" s="172"/>
      <c r="V453" s="169"/>
      <c r="W453" s="119"/>
      <c r="X453" s="119"/>
    </row>
    <row r="454" spans="13:24" ht="13" thickBot="1" x14ac:dyDescent="0.4">
      <c r="M454" s="121"/>
      <c r="S454" s="175"/>
      <c r="T454" s="176"/>
      <c r="U454" s="172"/>
      <c r="V454" s="169"/>
      <c r="W454" s="119"/>
      <c r="X454" s="119"/>
    </row>
    <row r="455" spans="13:24" ht="13" thickBot="1" x14ac:dyDescent="0.4">
      <c r="M455" s="121"/>
      <c r="S455" s="175"/>
      <c r="T455" s="176"/>
      <c r="U455" s="172"/>
      <c r="V455" s="169"/>
      <c r="W455" s="119"/>
      <c r="X455" s="119"/>
    </row>
    <row r="456" spans="13:24" ht="13" thickBot="1" x14ac:dyDescent="0.4">
      <c r="M456" s="121"/>
      <c r="S456" s="175"/>
      <c r="T456" s="176"/>
      <c r="U456" s="172"/>
      <c r="V456" s="169"/>
      <c r="W456" s="119"/>
      <c r="X456" s="119"/>
    </row>
    <row r="457" spans="13:24" ht="13" thickBot="1" x14ac:dyDescent="0.4">
      <c r="M457" s="121"/>
      <c r="S457" s="175"/>
      <c r="T457" s="176"/>
      <c r="U457" s="172"/>
      <c r="V457" s="169"/>
      <c r="W457" s="119"/>
      <c r="X457" s="119"/>
    </row>
    <row r="458" spans="13:24" ht="13" thickBot="1" x14ac:dyDescent="0.4">
      <c r="M458" s="121"/>
      <c r="S458" s="175"/>
      <c r="T458" s="176"/>
      <c r="U458" s="172"/>
      <c r="V458" s="169"/>
      <c r="W458" s="119"/>
      <c r="X458" s="119"/>
    </row>
    <row r="459" spans="13:24" ht="13" thickBot="1" x14ac:dyDescent="0.4">
      <c r="M459" s="121"/>
      <c r="S459" s="175"/>
      <c r="T459" s="176"/>
      <c r="U459" s="172"/>
      <c r="V459" s="169"/>
      <c r="W459" s="119"/>
      <c r="X459" s="119"/>
    </row>
    <row r="460" spans="13:24" ht="13" thickBot="1" x14ac:dyDescent="0.4">
      <c r="M460" s="121"/>
      <c r="S460" s="175"/>
      <c r="T460" s="176"/>
      <c r="U460" s="172"/>
      <c r="V460" s="169"/>
      <c r="W460" s="119"/>
      <c r="X460" s="119"/>
    </row>
    <row r="461" spans="13:24" ht="13" thickBot="1" x14ac:dyDescent="0.4">
      <c r="M461" s="121"/>
      <c r="S461" s="175"/>
      <c r="T461" s="176"/>
      <c r="U461" s="172"/>
      <c r="V461" s="169"/>
      <c r="W461" s="119"/>
      <c r="X461" s="119"/>
    </row>
    <row r="462" spans="13:24" ht="13" thickBot="1" x14ac:dyDescent="0.4">
      <c r="M462" s="121"/>
      <c r="S462" s="175"/>
      <c r="T462" s="176"/>
      <c r="U462" s="172"/>
      <c r="V462" s="169"/>
      <c r="W462" s="119"/>
      <c r="X462" s="119"/>
    </row>
    <row r="463" spans="13:24" ht="13" thickBot="1" x14ac:dyDescent="0.4">
      <c r="M463" s="121"/>
      <c r="S463" s="175"/>
      <c r="T463" s="176"/>
      <c r="U463" s="172"/>
      <c r="V463" s="169"/>
      <c r="W463" s="119"/>
      <c r="X463" s="119"/>
    </row>
    <row r="464" spans="13:24" ht="13" thickBot="1" x14ac:dyDescent="0.4">
      <c r="M464" s="121"/>
      <c r="S464" s="175"/>
      <c r="T464" s="176"/>
      <c r="U464" s="172"/>
      <c r="V464" s="169"/>
      <c r="W464" s="119"/>
      <c r="X464" s="119"/>
    </row>
    <row r="465" spans="13:24" ht="13" thickBot="1" x14ac:dyDescent="0.4">
      <c r="M465" s="121"/>
      <c r="S465" s="175"/>
      <c r="T465" s="176"/>
      <c r="U465" s="172"/>
      <c r="V465" s="169"/>
      <c r="W465" s="119"/>
      <c r="X465" s="119"/>
    </row>
    <row r="466" spans="13:24" ht="13" thickBot="1" x14ac:dyDescent="0.4">
      <c r="M466" s="121"/>
      <c r="S466" s="175"/>
      <c r="T466" s="176"/>
      <c r="U466" s="172"/>
      <c r="V466" s="169"/>
      <c r="W466" s="119"/>
      <c r="X466" s="119"/>
    </row>
    <row r="467" spans="13:24" ht="13" thickBot="1" x14ac:dyDescent="0.4">
      <c r="M467" s="121"/>
      <c r="S467" s="175"/>
      <c r="T467" s="176"/>
      <c r="U467" s="172"/>
      <c r="V467" s="169"/>
      <c r="W467" s="119"/>
      <c r="X467" s="119"/>
    </row>
    <row r="468" spans="13:24" ht="13" thickBot="1" x14ac:dyDescent="0.4">
      <c r="M468" s="121"/>
      <c r="S468" s="175"/>
      <c r="T468" s="176"/>
      <c r="U468" s="172"/>
      <c r="V468" s="169"/>
      <c r="W468" s="119"/>
      <c r="X468" s="119"/>
    </row>
    <row r="469" spans="13:24" ht="13" thickBot="1" x14ac:dyDescent="0.4">
      <c r="M469" s="121"/>
      <c r="S469" s="175"/>
      <c r="T469" s="176"/>
      <c r="U469" s="172"/>
      <c r="V469" s="169"/>
      <c r="W469" s="119"/>
      <c r="X469" s="119"/>
    </row>
    <row r="470" spans="13:24" ht="13" thickBot="1" x14ac:dyDescent="0.4">
      <c r="M470" s="121"/>
      <c r="S470" s="175"/>
      <c r="T470" s="176"/>
      <c r="U470" s="172"/>
      <c r="V470" s="169"/>
      <c r="W470" s="119"/>
      <c r="X470" s="119"/>
    </row>
    <row r="471" spans="13:24" ht="13" thickBot="1" x14ac:dyDescent="0.4">
      <c r="M471" s="121"/>
      <c r="S471" s="175"/>
      <c r="T471" s="176"/>
      <c r="U471" s="172"/>
      <c r="V471" s="169"/>
      <c r="W471" s="119"/>
      <c r="X471" s="119"/>
    </row>
    <row r="472" spans="13:24" ht="13" thickBot="1" x14ac:dyDescent="0.4">
      <c r="M472" s="121"/>
      <c r="S472" s="175"/>
      <c r="T472" s="176"/>
      <c r="U472" s="172"/>
      <c r="V472" s="169"/>
      <c r="W472" s="119"/>
      <c r="X472" s="119"/>
    </row>
    <row r="473" spans="13:24" ht="13" thickBot="1" x14ac:dyDescent="0.4">
      <c r="M473" s="121"/>
      <c r="S473" s="175"/>
      <c r="T473" s="176"/>
      <c r="U473" s="172"/>
      <c r="V473" s="169"/>
      <c r="W473" s="119"/>
      <c r="X473" s="119"/>
    </row>
    <row r="474" spans="13:24" ht="13" thickBot="1" x14ac:dyDescent="0.4">
      <c r="M474" s="121"/>
      <c r="S474" s="175"/>
      <c r="T474" s="176"/>
      <c r="U474" s="172"/>
      <c r="V474" s="169"/>
      <c r="W474" s="119"/>
      <c r="X474" s="119"/>
    </row>
    <row r="475" spans="13:24" ht="13" thickBot="1" x14ac:dyDescent="0.4">
      <c r="M475" s="121"/>
      <c r="S475" s="175"/>
      <c r="T475" s="176"/>
      <c r="U475" s="172"/>
      <c r="V475" s="169"/>
      <c r="W475" s="119"/>
      <c r="X475" s="119"/>
    </row>
    <row r="476" spans="13:24" ht="13" thickBot="1" x14ac:dyDescent="0.4">
      <c r="M476" s="121"/>
      <c r="S476" s="175"/>
      <c r="T476" s="176"/>
      <c r="U476" s="172"/>
      <c r="V476" s="169"/>
      <c r="W476" s="119"/>
      <c r="X476" s="119"/>
    </row>
    <row r="477" spans="13:24" ht="13" thickBot="1" x14ac:dyDescent="0.4">
      <c r="M477" s="121"/>
      <c r="S477" s="175"/>
      <c r="T477" s="176"/>
      <c r="U477" s="172"/>
      <c r="V477" s="169"/>
      <c r="W477" s="119"/>
      <c r="X477" s="119"/>
    </row>
    <row r="478" spans="13:24" ht="13" thickBot="1" x14ac:dyDescent="0.4">
      <c r="M478" s="121"/>
      <c r="S478" s="175"/>
      <c r="T478" s="176"/>
      <c r="U478" s="172"/>
      <c r="V478" s="169"/>
      <c r="W478" s="119"/>
      <c r="X478" s="119"/>
    </row>
    <row r="479" spans="13:24" ht="13" thickBot="1" x14ac:dyDescent="0.4">
      <c r="M479" s="121"/>
      <c r="S479" s="175"/>
      <c r="T479" s="176"/>
      <c r="U479" s="172"/>
      <c r="V479" s="169"/>
      <c r="W479" s="119"/>
      <c r="X479" s="119"/>
    </row>
    <row r="480" spans="13:24" ht="13" thickBot="1" x14ac:dyDescent="0.4">
      <c r="M480" s="121"/>
      <c r="S480" s="175"/>
      <c r="T480" s="176"/>
      <c r="U480" s="172"/>
      <c r="V480" s="169"/>
      <c r="W480" s="119"/>
      <c r="X480" s="119"/>
    </row>
    <row r="481" spans="13:24" ht="13" thickBot="1" x14ac:dyDescent="0.4">
      <c r="M481" s="121"/>
      <c r="S481" s="175"/>
      <c r="T481" s="176"/>
      <c r="U481" s="172"/>
      <c r="V481" s="169"/>
      <c r="W481" s="119"/>
      <c r="X481" s="119"/>
    </row>
    <row r="482" spans="13:24" ht="13" thickBot="1" x14ac:dyDescent="0.4">
      <c r="M482" s="121"/>
      <c r="S482" s="175"/>
      <c r="T482" s="176"/>
      <c r="U482" s="172"/>
      <c r="V482" s="169"/>
      <c r="W482" s="119"/>
      <c r="X482" s="119"/>
    </row>
    <row r="483" spans="13:24" ht="13" thickBot="1" x14ac:dyDescent="0.4">
      <c r="M483" s="121"/>
      <c r="S483" s="175"/>
      <c r="T483" s="176"/>
      <c r="U483" s="172"/>
      <c r="V483" s="169"/>
      <c r="W483" s="119"/>
      <c r="X483" s="119"/>
    </row>
    <row r="484" spans="13:24" ht="13" thickBot="1" x14ac:dyDescent="0.4">
      <c r="M484" s="121"/>
      <c r="S484" s="175"/>
      <c r="T484" s="176"/>
      <c r="U484" s="172"/>
      <c r="V484" s="169"/>
      <c r="W484" s="119"/>
      <c r="X484" s="119"/>
    </row>
    <row r="485" spans="13:24" ht="13" thickBot="1" x14ac:dyDescent="0.4">
      <c r="M485" s="121"/>
      <c r="S485" s="175"/>
      <c r="T485" s="176"/>
      <c r="U485" s="172"/>
      <c r="V485" s="169"/>
      <c r="W485" s="119"/>
      <c r="X485" s="119"/>
    </row>
    <row r="486" spans="13:24" ht="13" thickBot="1" x14ac:dyDescent="0.4">
      <c r="M486" s="121"/>
      <c r="S486" s="175"/>
      <c r="T486" s="176"/>
      <c r="U486" s="172"/>
      <c r="V486" s="169"/>
      <c r="W486" s="119"/>
      <c r="X486" s="119"/>
    </row>
    <row r="487" spans="13:24" ht="13" thickBot="1" x14ac:dyDescent="0.4">
      <c r="M487" s="121"/>
      <c r="S487" s="175"/>
      <c r="T487" s="176"/>
      <c r="U487" s="172"/>
      <c r="V487" s="169"/>
      <c r="W487" s="119"/>
      <c r="X487" s="119"/>
    </row>
    <row r="488" spans="13:24" ht="13" thickBot="1" x14ac:dyDescent="0.4">
      <c r="M488" s="121"/>
      <c r="S488" s="175"/>
      <c r="T488" s="176"/>
      <c r="U488" s="172"/>
      <c r="V488" s="169"/>
      <c r="W488" s="119"/>
      <c r="X488" s="119"/>
    </row>
    <row r="489" spans="13:24" ht="13" thickBot="1" x14ac:dyDescent="0.4">
      <c r="M489" s="121"/>
      <c r="S489" s="175"/>
      <c r="T489" s="176"/>
      <c r="U489" s="172"/>
      <c r="V489" s="169"/>
      <c r="W489" s="119"/>
      <c r="X489" s="119"/>
    </row>
    <row r="490" spans="13:24" ht="13" thickBot="1" x14ac:dyDescent="0.4">
      <c r="M490" s="121"/>
      <c r="S490" s="175"/>
      <c r="T490" s="176"/>
      <c r="U490" s="172"/>
      <c r="V490" s="169"/>
      <c r="W490" s="119"/>
      <c r="X490" s="119"/>
    </row>
    <row r="491" spans="13:24" ht="13" thickBot="1" x14ac:dyDescent="0.4">
      <c r="M491" s="121"/>
      <c r="S491" s="175"/>
      <c r="T491" s="176"/>
      <c r="U491" s="172"/>
      <c r="V491" s="169"/>
      <c r="W491" s="119"/>
      <c r="X491" s="119"/>
    </row>
    <row r="492" spans="13:24" ht="13" thickBot="1" x14ac:dyDescent="0.4">
      <c r="M492" s="121"/>
      <c r="S492" s="175"/>
      <c r="T492" s="176"/>
      <c r="U492" s="172"/>
      <c r="V492" s="169"/>
      <c r="W492" s="119"/>
      <c r="X492" s="119"/>
    </row>
    <row r="493" spans="13:24" ht="13" thickBot="1" x14ac:dyDescent="0.4">
      <c r="M493" s="121"/>
      <c r="S493" s="175"/>
      <c r="T493" s="176"/>
      <c r="U493" s="172"/>
      <c r="V493" s="169"/>
      <c r="W493" s="119"/>
      <c r="X493" s="119"/>
    </row>
    <row r="494" spans="13:24" ht="13" thickBot="1" x14ac:dyDescent="0.4">
      <c r="M494" s="121"/>
      <c r="S494" s="175"/>
      <c r="T494" s="176"/>
      <c r="U494" s="172"/>
      <c r="V494" s="169"/>
      <c r="W494" s="119"/>
      <c r="X494" s="119"/>
    </row>
    <row r="495" spans="13:24" ht="13" thickBot="1" x14ac:dyDescent="0.4">
      <c r="M495" s="121"/>
      <c r="S495" s="175"/>
      <c r="T495" s="176"/>
      <c r="U495" s="172"/>
      <c r="V495" s="169"/>
      <c r="W495" s="119"/>
      <c r="X495" s="119"/>
    </row>
    <row r="496" spans="13:24" ht="13" thickBot="1" x14ac:dyDescent="0.4">
      <c r="M496" s="121"/>
      <c r="S496" s="175"/>
      <c r="T496" s="176"/>
      <c r="U496" s="172"/>
      <c r="V496" s="169"/>
      <c r="W496" s="119"/>
      <c r="X496" s="119"/>
    </row>
    <row r="497" spans="13:24" ht="13" thickBot="1" x14ac:dyDescent="0.4">
      <c r="M497" s="121"/>
      <c r="S497" s="175"/>
      <c r="T497" s="176"/>
      <c r="U497" s="172"/>
      <c r="V497" s="169"/>
      <c r="W497" s="119"/>
      <c r="X497" s="119"/>
    </row>
    <row r="498" spans="13:24" ht="13" thickBot="1" x14ac:dyDescent="0.4">
      <c r="M498" s="121"/>
      <c r="S498" s="175"/>
      <c r="T498" s="176"/>
      <c r="U498" s="172"/>
      <c r="V498" s="169"/>
      <c r="W498" s="119"/>
      <c r="X498" s="119"/>
    </row>
    <row r="499" spans="13:24" ht="13" thickBot="1" x14ac:dyDescent="0.4">
      <c r="M499" s="121"/>
      <c r="S499" s="175"/>
      <c r="T499" s="176"/>
      <c r="U499" s="172"/>
      <c r="V499" s="169"/>
      <c r="W499" s="119"/>
      <c r="X499" s="119"/>
    </row>
    <row r="500" spans="13:24" ht="13" thickBot="1" x14ac:dyDescent="0.4">
      <c r="M500" s="121"/>
      <c r="S500" s="175"/>
      <c r="T500" s="176"/>
      <c r="U500" s="172"/>
      <c r="V500" s="169"/>
      <c r="W500" s="119"/>
      <c r="X500" s="119"/>
    </row>
    <row r="501" spans="13:24" ht="13" thickBot="1" x14ac:dyDescent="0.4">
      <c r="M501" s="121"/>
      <c r="S501" s="175"/>
      <c r="T501" s="176"/>
      <c r="U501" s="172"/>
      <c r="V501" s="169"/>
      <c r="W501" s="119"/>
      <c r="X501" s="119"/>
    </row>
    <row r="502" spans="13:24" ht="13" thickBot="1" x14ac:dyDescent="0.4">
      <c r="M502" s="121"/>
      <c r="S502" s="175"/>
      <c r="T502" s="176"/>
      <c r="U502" s="172"/>
      <c r="V502" s="169"/>
      <c r="W502" s="119"/>
      <c r="X502" s="119"/>
    </row>
    <row r="503" spans="13:24" ht="13" thickBot="1" x14ac:dyDescent="0.4">
      <c r="M503" s="121"/>
      <c r="S503" s="175"/>
      <c r="T503" s="176"/>
      <c r="U503" s="172"/>
      <c r="V503" s="169"/>
      <c r="W503" s="119"/>
      <c r="X503" s="119"/>
    </row>
    <row r="504" spans="13:24" ht="13" thickBot="1" x14ac:dyDescent="0.4">
      <c r="M504" s="121"/>
      <c r="S504" s="175"/>
      <c r="T504" s="176"/>
      <c r="U504" s="172"/>
      <c r="V504" s="169"/>
      <c r="W504" s="119"/>
      <c r="X504" s="119"/>
    </row>
    <row r="505" spans="13:24" ht="13" thickBot="1" x14ac:dyDescent="0.4">
      <c r="M505" s="121"/>
      <c r="S505" s="175"/>
      <c r="T505" s="176"/>
      <c r="U505" s="172"/>
      <c r="V505" s="169"/>
      <c r="W505" s="119"/>
      <c r="X505" s="119"/>
    </row>
    <row r="506" spans="13:24" ht="13" thickBot="1" x14ac:dyDescent="0.4">
      <c r="M506" s="121"/>
      <c r="S506" s="175"/>
      <c r="T506" s="176"/>
      <c r="U506" s="172"/>
      <c r="V506" s="169"/>
      <c r="W506" s="119"/>
      <c r="X506" s="119"/>
    </row>
    <row r="507" spans="13:24" ht="13" thickBot="1" x14ac:dyDescent="0.4">
      <c r="M507" s="121"/>
      <c r="S507" s="175"/>
      <c r="T507" s="176"/>
      <c r="U507" s="172"/>
      <c r="V507" s="169"/>
      <c r="W507" s="119"/>
      <c r="X507" s="119"/>
    </row>
    <row r="508" spans="13:24" ht="13" thickBot="1" x14ac:dyDescent="0.4">
      <c r="M508" s="121"/>
      <c r="S508" s="175"/>
      <c r="T508" s="176"/>
      <c r="U508" s="172"/>
      <c r="V508" s="169"/>
      <c r="W508" s="119"/>
      <c r="X508" s="119"/>
    </row>
    <row r="509" spans="13:24" ht="13" thickBot="1" x14ac:dyDescent="0.4">
      <c r="M509" s="121"/>
      <c r="S509" s="175"/>
      <c r="T509" s="176"/>
      <c r="U509" s="172"/>
      <c r="V509" s="169"/>
      <c r="W509" s="119"/>
      <c r="X509" s="119"/>
    </row>
    <row r="510" spans="13:24" ht="13" thickBot="1" x14ac:dyDescent="0.4">
      <c r="M510" s="121"/>
      <c r="S510" s="175"/>
      <c r="T510" s="176"/>
      <c r="U510" s="172"/>
      <c r="V510" s="169"/>
      <c r="W510" s="119"/>
      <c r="X510" s="119"/>
    </row>
    <row r="511" spans="13:24" ht="13" thickBot="1" x14ac:dyDescent="0.4">
      <c r="M511" s="121"/>
      <c r="S511" s="175"/>
      <c r="T511" s="176"/>
      <c r="U511" s="172"/>
      <c r="V511" s="169"/>
      <c r="W511" s="119"/>
      <c r="X511" s="119"/>
    </row>
    <row r="512" spans="13:24" ht="13" thickBot="1" x14ac:dyDescent="0.4">
      <c r="M512" s="121"/>
      <c r="S512" s="175"/>
      <c r="T512" s="176"/>
      <c r="U512" s="172"/>
      <c r="V512" s="169"/>
      <c r="W512" s="119"/>
      <c r="X512" s="119"/>
    </row>
    <row r="513" spans="13:24" ht="13" thickBot="1" x14ac:dyDescent="0.4">
      <c r="M513" s="121"/>
      <c r="S513" s="175"/>
      <c r="T513" s="176"/>
      <c r="U513" s="172"/>
      <c r="V513" s="169"/>
      <c r="W513" s="119"/>
      <c r="X513" s="119"/>
    </row>
    <row r="514" spans="13:24" ht="13" thickBot="1" x14ac:dyDescent="0.4">
      <c r="M514" s="121"/>
      <c r="S514" s="175"/>
      <c r="T514" s="176"/>
      <c r="U514" s="172"/>
      <c r="V514" s="169"/>
      <c r="W514" s="119"/>
      <c r="X514" s="119"/>
    </row>
    <row r="515" spans="13:24" ht="13" thickBot="1" x14ac:dyDescent="0.4">
      <c r="M515" s="121"/>
      <c r="S515" s="175"/>
      <c r="T515" s="176"/>
      <c r="U515" s="172"/>
      <c r="V515" s="169"/>
      <c r="W515" s="119"/>
      <c r="X515" s="119"/>
    </row>
    <row r="516" spans="13:24" ht="13" thickBot="1" x14ac:dyDescent="0.4">
      <c r="M516" s="121"/>
      <c r="S516" s="175"/>
      <c r="T516" s="176"/>
      <c r="U516" s="172"/>
      <c r="V516" s="169"/>
      <c r="W516" s="119"/>
      <c r="X516" s="119"/>
    </row>
    <row r="517" spans="13:24" ht="13" thickBot="1" x14ac:dyDescent="0.4">
      <c r="M517" s="121"/>
      <c r="S517" s="175"/>
      <c r="T517" s="176"/>
      <c r="U517" s="172"/>
      <c r="V517" s="169"/>
      <c r="W517" s="119"/>
      <c r="X517" s="119"/>
    </row>
    <row r="518" spans="13:24" ht="13" thickBot="1" x14ac:dyDescent="0.4">
      <c r="M518" s="121"/>
      <c r="S518" s="175"/>
      <c r="T518" s="176"/>
      <c r="U518" s="172"/>
      <c r="V518" s="169"/>
      <c r="W518" s="119"/>
      <c r="X518" s="119"/>
    </row>
    <row r="519" spans="13:24" ht="13" thickBot="1" x14ac:dyDescent="0.4">
      <c r="M519" s="121"/>
      <c r="S519" s="175"/>
      <c r="T519" s="176"/>
      <c r="U519" s="172"/>
      <c r="V519" s="169"/>
      <c r="W519" s="119"/>
      <c r="X519" s="119"/>
    </row>
    <row r="520" spans="13:24" ht="13" thickBot="1" x14ac:dyDescent="0.4">
      <c r="M520" s="121"/>
      <c r="S520" s="175"/>
      <c r="T520" s="176"/>
      <c r="U520" s="172"/>
      <c r="V520" s="169"/>
      <c r="W520" s="119"/>
      <c r="X520" s="119"/>
    </row>
    <row r="521" spans="13:24" ht="13" thickBot="1" x14ac:dyDescent="0.4">
      <c r="M521" s="121"/>
      <c r="S521" s="175"/>
      <c r="T521" s="176"/>
      <c r="U521" s="172"/>
      <c r="V521" s="169"/>
      <c r="W521" s="119"/>
      <c r="X521" s="119"/>
    </row>
    <row r="522" spans="13:24" ht="13" thickBot="1" x14ac:dyDescent="0.4">
      <c r="M522" s="121"/>
      <c r="S522" s="175"/>
      <c r="T522" s="176"/>
      <c r="U522" s="172"/>
      <c r="V522" s="169"/>
      <c r="W522" s="119"/>
      <c r="X522" s="119"/>
    </row>
    <row r="523" spans="13:24" ht="13" thickBot="1" x14ac:dyDescent="0.4">
      <c r="M523" s="121"/>
      <c r="S523" s="175"/>
      <c r="T523" s="176"/>
      <c r="U523" s="172"/>
      <c r="V523" s="169"/>
      <c r="W523" s="119"/>
      <c r="X523" s="119"/>
    </row>
    <row r="524" spans="13:24" ht="13" thickBot="1" x14ac:dyDescent="0.4">
      <c r="M524" s="121"/>
      <c r="S524" s="175"/>
      <c r="T524" s="176"/>
      <c r="U524" s="172"/>
      <c r="V524" s="169"/>
      <c r="W524" s="119"/>
      <c r="X524" s="119"/>
    </row>
    <row r="525" spans="13:24" ht="13" thickBot="1" x14ac:dyDescent="0.4">
      <c r="M525" s="121"/>
      <c r="S525" s="175"/>
      <c r="T525" s="176"/>
      <c r="U525" s="172"/>
      <c r="V525" s="169"/>
      <c r="W525" s="119"/>
      <c r="X525" s="119"/>
    </row>
    <row r="526" spans="13:24" ht="13" thickBot="1" x14ac:dyDescent="0.4">
      <c r="M526" s="121"/>
      <c r="S526" s="175"/>
      <c r="T526" s="176"/>
      <c r="U526" s="172"/>
      <c r="V526" s="169"/>
      <c r="W526" s="119"/>
      <c r="X526" s="119"/>
    </row>
    <row r="527" spans="13:24" ht="13" thickBot="1" x14ac:dyDescent="0.4">
      <c r="M527" s="121"/>
      <c r="S527" s="175"/>
      <c r="T527" s="176"/>
      <c r="U527" s="172"/>
      <c r="V527" s="169"/>
      <c r="W527" s="119"/>
      <c r="X527" s="119"/>
    </row>
    <row r="528" spans="13:24" ht="13" thickBot="1" x14ac:dyDescent="0.4">
      <c r="M528" s="121"/>
      <c r="S528" s="175"/>
      <c r="T528" s="176"/>
      <c r="U528" s="172"/>
      <c r="V528" s="169"/>
      <c r="W528" s="119"/>
      <c r="X528" s="119"/>
    </row>
    <row r="529" spans="13:24" ht="13" thickBot="1" x14ac:dyDescent="0.4">
      <c r="M529" s="121"/>
      <c r="S529" s="175"/>
      <c r="T529" s="176"/>
      <c r="U529" s="172"/>
      <c r="V529" s="169"/>
      <c r="W529" s="119"/>
      <c r="X529" s="119"/>
    </row>
    <row r="530" spans="13:24" ht="13" thickBot="1" x14ac:dyDescent="0.4">
      <c r="M530" s="121"/>
      <c r="S530" s="175"/>
      <c r="T530" s="176"/>
      <c r="U530" s="172"/>
      <c r="V530" s="169"/>
      <c r="W530" s="119"/>
      <c r="X530" s="119"/>
    </row>
    <row r="531" spans="13:24" ht="13" thickBot="1" x14ac:dyDescent="0.4">
      <c r="M531" s="121"/>
      <c r="S531" s="175"/>
      <c r="T531" s="176"/>
      <c r="U531" s="172"/>
      <c r="V531" s="169"/>
      <c r="W531" s="119"/>
      <c r="X531" s="119"/>
    </row>
    <row r="532" spans="13:24" ht="13" thickBot="1" x14ac:dyDescent="0.4">
      <c r="M532" s="121"/>
      <c r="S532" s="175"/>
      <c r="T532" s="176"/>
      <c r="U532" s="172"/>
      <c r="V532" s="169"/>
      <c r="W532" s="119"/>
      <c r="X532" s="119"/>
    </row>
    <row r="533" spans="13:24" ht="13" thickBot="1" x14ac:dyDescent="0.4">
      <c r="M533" s="121"/>
      <c r="S533" s="175"/>
      <c r="T533" s="176"/>
      <c r="U533" s="172"/>
      <c r="V533" s="169"/>
      <c r="W533" s="119"/>
      <c r="X533" s="119"/>
    </row>
    <row r="534" spans="13:24" ht="13" thickBot="1" x14ac:dyDescent="0.4">
      <c r="M534" s="121"/>
      <c r="S534" s="175"/>
      <c r="T534" s="176"/>
      <c r="U534" s="172"/>
      <c r="V534" s="169"/>
      <c r="W534" s="119"/>
      <c r="X534" s="119"/>
    </row>
    <row r="535" spans="13:24" ht="13" thickBot="1" x14ac:dyDescent="0.4">
      <c r="M535" s="121"/>
      <c r="S535" s="175"/>
      <c r="T535" s="176"/>
      <c r="U535" s="172"/>
      <c r="V535" s="169"/>
      <c r="W535" s="119"/>
      <c r="X535" s="119"/>
    </row>
    <row r="536" spans="13:24" ht="13" thickBot="1" x14ac:dyDescent="0.4">
      <c r="M536" s="121"/>
      <c r="S536" s="175"/>
      <c r="T536" s="176"/>
      <c r="U536" s="172"/>
      <c r="V536" s="169"/>
      <c r="W536" s="119"/>
      <c r="X536" s="119"/>
    </row>
    <row r="537" spans="13:24" ht="13" thickBot="1" x14ac:dyDescent="0.4">
      <c r="M537" s="121"/>
      <c r="S537" s="175"/>
      <c r="T537" s="176"/>
      <c r="U537" s="172"/>
      <c r="V537" s="169"/>
      <c r="W537" s="119"/>
      <c r="X537" s="119"/>
    </row>
    <row r="538" spans="13:24" ht="13" thickBot="1" x14ac:dyDescent="0.4">
      <c r="M538" s="121"/>
      <c r="S538" s="175"/>
      <c r="T538" s="176"/>
      <c r="U538" s="172"/>
      <c r="V538" s="169"/>
      <c r="W538" s="119"/>
      <c r="X538" s="119"/>
    </row>
    <row r="539" spans="13:24" ht="13" thickBot="1" x14ac:dyDescent="0.4">
      <c r="M539" s="121"/>
      <c r="S539" s="175"/>
      <c r="T539" s="176"/>
      <c r="U539" s="172"/>
      <c r="V539" s="169"/>
      <c r="W539" s="119"/>
      <c r="X539" s="119"/>
    </row>
    <row r="540" spans="13:24" ht="13" thickBot="1" x14ac:dyDescent="0.4">
      <c r="M540" s="121"/>
      <c r="S540" s="175"/>
      <c r="T540" s="176"/>
      <c r="U540" s="172"/>
      <c r="V540" s="169"/>
      <c r="W540" s="119"/>
      <c r="X540" s="119"/>
    </row>
    <row r="541" spans="13:24" ht="13" thickBot="1" x14ac:dyDescent="0.4">
      <c r="M541" s="121"/>
      <c r="S541" s="175"/>
      <c r="T541" s="176"/>
      <c r="U541" s="172"/>
      <c r="V541" s="169"/>
      <c r="W541" s="119"/>
      <c r="X541" s="119"/>
    </row>
    <row r="542" spans="13:24" ht="13" thickBot="1" x14ac:dyDescent="0.4">
      <c r="M542" s="121"/>
      <c r="S542" s="175"/>
      <c r="T542" s="176"/>
      <c r="U542" s="172"/>
      <c r="V542" s="169"/>
      <c r="W542" s="119"/>
      <c r="X542" s="119"/>
    </row>
    <row r="543" spans="13:24" ht="13" thickBot="1" x14ac:dyDescent="0.4">
      <c r="M543" s="121"/>
      <c r="S543" s="175"/>
      <c r="T543" s="176"/>
      <c r="U543" s="172"/>
      <c r="V543" s="169"/>
      <c r="W543" s="119"/>
      <c r="X543" s="119"/>
    </row>
    <row r="544" spans="13:24" ht="13" thickBot="1" x14ac:dyDescent="0.4">
      <c r="M544" s="121"/>
      <c r="S544" s="175"/>
      <c r="T544" s="176"/>
      <c r="U544" s="172"/>
      <c r="V544" s="169"/>
      <c r="W544" s="119"/>
      <c r="X544" s="119"/>
    </row>
    <row r="545" spans="13:24" ht="13" thickBot="1" x14ac:dyDescent="0.4">
      <c r="M545" s="121"/>
      <c r="S545" s="175"/>
      <c r="T545" s="176"/>
      <c r="U545" s="172"/>
      <c r="V545" s="169"/>
      <c r="W545" s="119"/>
      <c r="X545" s="119"/>
    </row>
    <row r="546" spans="13:24" ht="13" thickBot="1" x14ac:dyDescent="0.4">
      <c r="M546" s="121"/>
      <c r="S546" s="175"/>
      <c r="T546" s="176"/>
      <c r="U546" s="172"/>
      <c r="V546" s="169"/>
      <c r="W546" s="119"/>
      <c r="X546" s="119"/>
    </row>
    <row r="547" spans="13:24" ht="13" thickBot="1" x14ac:dyDescent="0.4">
      <c r="M547" s="121"/>
      <c r="S547" s="175"/>
      <c r="T547" s="176"/>
      <c r="U547" s="172"/>
      <c r="V547" s="169"/>
      <c r="W547" s="119"/>
      <c r="X547" s="119"/>
    </row>
    <row r="548" spans="13:24" ht="13" thickBot="1" x14ac:dyDescent="0.4">
      <c r="M548" s="121"/>
      <c r="S548" s="175"/>
      <c r="T548" s="176"/>
      <c r="U548" s="172"/>
      <c r="V548" s="169"/>
      <c r="W548" s="119"/>
      <c r="X548" s="119"/>
    </row>
    <row r="549" spans="13:24" ht="13" thickBot="1" x14ac:dyDescent="0.4">
      <c r="M549" s="121"/>
      <c r="S549" s="175"/>
      <c r="T549" s="176"/>
      <c r="U549" s="172"/>
      <c r="V549" s="169"/>
      <c r="W549" s="119"/>
      <c r="X549" s="119"/>
    </row>
    <row r="550" spans="13:24" ht="13" thickBot="1" x14ac:dyDescent="0.4">
      <c r="M550" s="121"/>
      <c r="S550" s="175"/>
      <c r="T550" s="176"/>
      <c r="U550" s="172"/>
      <c r="V550" s="169"/>
      <c r="W550" s="119"/>
      <c r="X550" s="119"/>
    </row>
    <row r="551" spans="13:24" ht="13" thickBot="1" x14ac:dyDescent="0.4">
      <c r="M551" s="121"/>
      <c r="S551" s="175"/>
      <c r="T551" s="176"/>
      <c r="U551" s="172"/>
      <c r="V551" s="169"/>
      <c r="W551" s="119"/>
      <c r="X551" s="119"/>
    </row>
    <row r="552" spans="13:24" ht="13" thickBot="1" x14ac:dyDescent="0.4">
      <c r="M552" s="121"/>
      <c r="S552" s="175"/>
      <c r="T552" s="176"/>
      <c r="U552" s="172"/>
      <c r="V552" s="169"/>
      <c r="W552" s="119"/>
      <c r="X552" s="119"/>
    </row>
    <row r="553" spans="13:24" ht="13" thickBot="1" x14ac:dyDescent="0.4">
      <c r="M553" s="121"/>
      <c r="S553" s="175"/>
      <c r="T553" s="176"/>
      <c r="U553" s="172"/>
      <c r="V553" s="169"/>
      <c r="W553" s="119"/>
      <c r="X553" s="119"/>
    </row>
    <row r="554" spans="13:24" ht="13" thickBot="1" x14ac:dyDescent="0.4">
      <c r="M554" s="121"/>
      <c r="S554" s="175"/>
      <c r="T554" s="176"/>
      <c r="U554" s="172"/>
      <c r="V554" s="169"/>
      <c r="W554" s="119"/>
      <c r="X554" s="119"/>
    </row>
    <row r="555" spans="13:24" ht="13" thickBot="1" x14ac:dyDescent="0.4">
      <c r="M555" s="121"/>
      <c r="S555" s="175"/>
      <c r="T555" s="176"/>
      <c r="U555" s="172"/>
      <c r="V555" s="169"/>
      <c r="W555" s="119"/>
      <c r="X555" s="119"/>
    </row>
    <row r="556" spans="13:24" ht="13" thickBot="1" x14ac:dyDescent="0.4">
      <c r="M556" s="121"/>
      <c r="S556" s="175"/>
      <c r="T556" s="176"/>
      <c r="U556" s="172"/>
      <c r="V556" s="169"/>
      <c r="W556" s="119"/>
      <c r="X556" s="119"/>
    </row>
    <row r="557" spans="13:24" ht="13" thickBot="1" x14ac:dyDescent="0.4">
      <c r="M557" s="121"/>
      <c r="S557" s="175"/>
      <c r="T557" s="176"/>
      <c r="U557" s="172"/>
      <c r="V557" s="169"/>
      <c r="W557" s="119"/>
      <c r="X557" s="119"/>
    </row>
    <row r="558" spans="13:24" ht="13" thickBot="1" x14ac:dyDescent="0.4">
      <c r="M558" s="121"/>
      <c r="S558" s="175"/>
      <c r="T558" s="176"/>
      <c r="U558" s="172"/>
      <c r="V558" s="169"/>
      <c r="W558" s="119"/>
      <c r="X558" s="119"/>
    </row>
    <row r="559" spans="13:24" ht="13" thickBot="1" x14ac:dyDescent="0.4">
      <c r="M559" s="121"/>
      <c r="S559" s="175"/>
      <c r="T559" s="176"/>
      <c r="U559" s="172"/>
      <c r="V559" s="169"/>
      <c r="W559" s="119"/>
      <c r="X559" s="119"/>
    </row>
    <row r="560" spans="13:24" ht="13" thickBot="1" x14ac:dyDescent="0.4">
      <c r="M560" s="121"/>
      <c r="S560" s="175"/>
      <c r="T560" s="176"/>
      <c r="U560" s="172"/>
      <c r="V560" s="169"/>
      <c r="W560" s="119"/>
      <c r="X560" s="119"/>
    </row>
    <row r="561" spans="13:24" ht="13" thickBot="1" x14ac:dyDescent="0.4">
      <c r="M561" s="121"/>
      <c r="S561" s="175"/>
      <c r="T561" s="176"/>
      <c r="U561" s="172"/>
      <c r="V561" s="169"/>
      <c r="W561" s="119"/>
      <c r="X561" s="119"/>
    </row>
    <row r="562" spans="13:24" ht="13" thickBot="1" x14ac:dyDescent="0.4">
      <c r="M562" s="121"/>
      <c r="S562" s="175"/>
      <c r="T562" s="176"/>
      <c r="U562" s="172"/>
      <c r="V562" s="169"/>
      <c r="W562" s="119"/>
      <c r="X562" s="119"/>
    </row>
    <row r="563" spans="13:24" ht="13" thickBot="1" x14ac:dyDescent="0.4">
      <c r="M563" s="121"/>
      <c r="S563" s="175"/>
      <c r="T563" s="176"/>
      <c r="U563" s="172"/>
      <c r="V563" s="169"/>
      <c r="W563" s="119"/>
      <c r="X563" s="119"/>
    </row>
    <row r="564" spans="13:24" ht="13" thickBot="1" x14ac:dyDescent="0.4">
      <c r="M564" s="121"/>
      <c r="S564" s="175"/>
      <c r="T564" s="176"/>
      <c r="U564" s="172"/>
      <c r="V564" s="169"/>
      <c r="W564" s="119"/>
      <c r="X564" s="119"/>
    </row>
    <row r="565" spans="13:24" ht="13" thickBot="1" x14ac:dyDescent="0.4">
      <c r="M565" s="121"/>
      <c r="S565" s="175"/>
      <c r="T565" s="176"/>
      <c r="U565" s="172"/>
      <c r="V565" s="169"/>
      <c r="W565" s="119"/>
      <c r="X565" s="119"/>
    </row>
    <row r="566" spans="13:24" ht="13" thickBot="1" x14ac:dyDescent="0.4">
      <c r="M566" s="121"/>
      <c r="S566" s="175"/>
      <c r="T566" s="176"/>
      <c r="U566" s="172"/>
      <c r="V566" s="169"/>
      <c r="W566" s="119"/>
      <c r="X566" s="119"/>
    </row>
    <row r="567" spans="13:24" ht="13" thickBot="1" x14ac:dyDescent="0.4">
      <c r="M567" s="121"/>
      <c r="S567" s="175"/>
      <c r="T567" s="176"/>
      <c r="U567" s="172"/>
      <c r="V567" s="169"/>
      <c r="W567" s="119"/>
      <c r="X567" s="119"/>
    </row>
    <row r="568" spans="13:24" ht="13" thickBot="1" x14ac:dyDescent="0.4">
      <c r="M568" s="121"/>
      <c r="S568" s="175"/>
      <c r="T568" s="176"/>
      <c r="U568" s="172"/>
      <c r="V568" s="169"/>
      <c r="W568" s="119"/>
      <c r="X568" s="119"/>
    </row>
    <row r="569" spans="13:24" ht="13" thickBot="1" x14ac:dyDescent="0.4">
      <c r="M569" s="121"/>
      <c r="S569" s="175"/>
      <c r="T569" s="176"/>
      <c r="U569" s="172"/>
      <c r="V569" s="169"/>
      <c r="W569" s="119"/>
      <c r="X569" s="119"/>
    </row>
    <row r="570" spans="13:24" ht="13" thickBot="1" x14ac:dyDescent="0.4">
      <c r="M570" s="121"/>
      <c r="S570" s="175"/>
      <c r="T570" s="176"/>
      <c r="U570" s="172"/>
      <c r="V570" s="169"/>
      <c r="W570" s="119"/>
      <c r="X570" s="119"/>
    </row>
    <row r="571" spans="13:24" ht="13" thickBot="1" x14ac:dyDescent="0.4">
      <c r="M571" s="121"/>
      <c r="S571" s="175"/>
      <c r="T571" s="176"/>
      <c r="U571" s="172"/>
      <c r="V571" s="169"/>
      <c r="W571" s="119"/>
      <c r="X571" s="119"/>
    </row>
    <row r="572" spans="13:24" ht="13" thickBot="1" x14ac:dyDescent="0.4">
      <c r="M572" s="121"/>
      <c r="S572" s="175"/>
      <c r="T572" s="176"/>
      <c r="U572" s="172"/>
      <c r="V572" s="169"/>
      <c r="W572" s="119"/>
      <c r="X572" s="119"/>
    </row>
    <row r="573" spans="13:24" ht="13" thickBot="1" x14ac:dyDescent="0.4">
      <c r="M573" s="121"/>
      <c r="S573" s="175"/>
      <c r="T573" s="176"/>
      <c r="U573" s="172"/>
      <c r="V573" s="169"/>
      <c r="W573" s="119"/>
      <c r="X573" s="119"/>
    </row>
    <row r="574" spans="13:24" ht="13" thickBot="1" x14ac:dyDescent="0.4">
      <c r="M574" s="121"/>
      <c r="S574" s="175"/>
      <c r="T574" s="176"/>
      <c r="U574" s="172"/>
      <c r="V574" s="169"/>
      <c r="W574" s="119"/>
      <c r="X574" s="119"/>
    </row>
    <row r="575" spans="13:24" ht="13" thickBot="1" x14ac:dyDescent="0.4">
      <c r="M575" s="121"/>
      <c r="S575" s="175"/>
      <c r="T575" s="176"/>
      <c r="U575" s="172"/>
      <c r="V575" s="169"/>
      <c r="W575" s="119"/>
      <c r="X575" s="119"/>
    </row>
    <row r="576" spans="13:24" ht="13" thickBot="1" x14ac:dyDescent="0.4">
      <c r="M576" s="121"/>
      <c r="S576" s="175"/>
      <c r="T576" s="176"/>
      <c r="U576" s="172"/>
      <c r="V576" s="169"/>
      <c r="W576" s="119"/>
      <c r="X576" s="119"/>
    </row>
    <row r="577" spans="13:24" ht="13" thickBot="1" x14ac:dyDescent="0.4">
      <c r="M577" s="121"/>
      <c r="S577" s="175"/>
      <c r="T577" s="176"/>
      <c r="U577" s="172"/>
      <c r="V577" s="169"/>
      <c r="W577" s="119"/>
      <c r="X577" s="119"/>
    </row>
    <row r="578" spans="13:24" ht="13" thickBot="1" x14ac:dyDescent="0.4">
      <c r="M578" s="121"/>
      <c r="S578" s="175"/>
      <c r="T578" s="176"/>
      <c r="U578" s="172"/>
      <c r="V578" s="169"/>
      <c r="W578" s="119"/>
      <c r="X578" s="119"/>
    </row>
    <row r="579" spans="13:24" ht="13" thickBot="1" x14ac:dyDescent="0.4">
      <c r="M579" s="121"/>
      <c r="S579" s="175"/>
      <c r="T579" s="176"/>
      <c r="U579" s="172"/>
      <c r="V579" s="169"/>
      <c r="W579" s="119"/>
      <c r="X579" s="119"/>
    </row>
    <row r="580" spans="13:24" ht="13" thickBot="1" x14ac:dyDescent="0.4">
      <c r="M580" s="121"/>
      <c r="S580" s="175"/>
      <c r="T580" s="176"/>
      <c r="U580" s="172"/>
      <c r="V580" s="169"/>
      <c r="W580" s="119"/>
      <c r="X580" s="119"/>
    </row>
    <row r="581" spans="13:24" ht="13" thickBot="1" x14ac:dyDescent="0.4">
      <c r="M581" s="121"/>
      <c r="S581" s="175"/>
      <c r="T581" s="176"/>
      <c r="U581" s="172"/>
      <c r="V581" s="169"/>
      <c r="W581" s="119"/>
      <c r="X581" s="119"/>
    </row>
    <row r="582" spans="13:24" ht="13" thickBot="1" x14ac:dyDescent="0.4">
      <c r="M582" s="121"/>
      <c r="S582" s="175"/>
      <c r="T582" s="176"/>
      <c r="U582" s="172"/>
      <c r="V582" s="169"/>
      <c r="W582" s="119"/>
      <c r="X582" s="119"/>
    </row>
    <row r="583" spans="13:24" ht="13" thickBot="1" x14ac:dyDescent="0.4">
      <c r="M583" s="121"/>
      <c r="S583" s="175"/>
      <c r="T583" s="176"/>
      <c r="U583" s="172"/>
      <c r="V583" s="169"/>
      <c r="W583" s="119"/>
      <c r="X583" s="119"/>
    </row>
    <row r="584" spans="13:24" ht="13" thickBot="1" x14ac:dyDescent="0.4">
      <c r="M584" s="121"/>
      <c r="S584" s="175"/>
      <c r="T584" s="176"/>
      <c r="U584" s="172"/>
      <c r="V584" s="169"/>
      <c r="W584" s="119"/>
      <c r="X584" s="119"/>
    </row>
    <row r="585" spans="13:24" ht="13" thickBot="1" x14ac:dyDescent="0.4">
      <c r="M585" s="121"/>
      <c r="S585" s="175"/>
      <c r="T585" s="176"/>
      <c r="U585" s="172"/>
      <c r="V585" s="169"/>
      <c r="W585" s="119"/>
      <c r="X585" s="119"/>
    </row>
    <row r="586" spans="13:24" ht="13" thickBot="1" x14ac:dyDescent="0.4">
      <c r="M586" s="121"/>
      <c r="S586" s="175"/>
      <c r="T586" s="176"/>
      <c r="U586" s="172"/>
      <c r="V586" s="169"/>
      <c r="W586" s="119"/>
      <c r="X586" s="119"/>
    </row>
    <row r="587" spans="13:24" ht="13" thickBot="1" x14ac:dyDescent="0.4">
      <c r="M587" s="121"/>
      <c r="S587" s="175"/>
      <c r="T587" s="176"/>
      <c r="U587" s="172"/>
      <c r="V587" s="169"/>
      <c r="W587" s="119"/>
      <c r="X587" s="119"/>
    </row>
    <row r="588" spans="13:24" ht="13" thickBot="1" x14ac:dyDescent="0.4">
      <c r="M588" s="121"/>
      <c r="S588" s="175"/>
      <c r="T588" s="176"/>
      <c r="U588" s="172"/>
      <c r="V588" s="169"/>
      <c r="W588" s="119"/>
      <c r="X588" s="119"/>
    </row>
    <row r="589" spans="13:24" ht="13" thickBot="1" x14ac:dyDescent="0.4">
      <c r="M589" s="121"/>
      <c r="S589" s="175"/>
      <c r="T589" s="176"/>
      <c r="U589" s="172"/>
      <c r="V589" s="169"/>
      <c r="W589" s="119"/>
      <c r="X589" s="119"/>
    </row>
    <row r="590" spans="13:24" ht="13" thickBot="1" x14ac:dyDescent="0.4">
      <c r="M590" s="121"/>
      <c r="S590" s="175"/>
      <c r="T590" s="176"/>
      <c r="U590" s="172"/>
      <c r="V590" s="169"/>
      <c r="W590" s="119"/>
      <c r="X590" s="119"/>
    </row>
    <row r="591" spans="13:24" ht="13" thickBot="1" x14ac:dyDescent="0.4">
      <c r="M591" s="121"/>
      <c r="S591" s="175"/>
      <c r="T591" s="176"/>
      <c r="U591" s="172"/>
      <c r="V591" s="169"/>
      <c r="W591" s="119"/>
      <c r="X591" s="119"/>
    </row>
    <row r="592" spans="13:24" ht="13" thickBot="1" x14ac:dyDescent="0.4">
      <c r="M592" s="121"/>
      <c r="S592" s="175"/>
      <c r="T592" s="176"/>
      <c r="U592" s="172"/>
      <c r="V592" s="169"/>
      <c r="W592" s="119"/>
      <c r="X592" s="119"/>
    </row>
    <row r="593" spans="13:24" ht="13" thickBot="1" x14ac:dyDescent="0.4">
      <c r="M593" s="121"/>
      <c r="S593" s="175"/>
      <c r="T593" s="176"/>
      <c r="U593" s="172"/>
      <c r="V593" s="169"/>
      <c r="W593" s="119"/>
      <c r="X593" s="119"/>
    </row>
    <row r="594" spans="13:24" ht="13" thickBot="1" x14ac:dyDescent="0.4">
      <c r="M594" s="121"/>
      <c r="S594" s="175"/>
      <c r="T594" s="176"/>
      <c r="U594" s="172"/>
      <c r="V594" s="169"/>
      <c r="W594" s="119"/>
      <c r="X594" s="119"/>
    </row>
    <row r="595" spans="13:24" ht="13" thickBot="1" x14ac:dyDescent="0.4">
      <c r="M595" s="121"/>
      <c r="S595" s="175"/>
      <c r="T595" s="176"/>
      <c r="U595" s="172"/>
      <c r="V595" s="169"/>
      <c r="W595" s="119"/>
      <c r="X595" s="119"/>
    </row>
    <row r="596" spans="13:24" ht="13" thickBot="1" x14ac:dyDescent="0.4">
      <c r="M596" s="121"/>
      <c r="S596" s="175"/>
      <c r="T596" s="176"/>
      <c r="U596" s="172"/>
      <c r="V596" s="169"/>
      <c r="W596" s="119"/>
      <c r="X596" s="119"/>
    </row>
    <row r="597" spans="13:24" ht="13" thickBot="1" x14ac:dyDescent="0.4">
      <c r="M597" s="121"/>
      <c r="S597" s="175"/>
      <c r="T597" s="176"/>
      <c r="U597" s="172"/>
      <c r="V597" s="169"/>
      <c r="W597" s="119"/>
      <c r="X597" s="119"/>
    </row>
    <row r="598" spans="13:24" ht="13" thickBot="1" x14ac:dyDescent="0.4">
      <c r="M598" s="121"/>
      <c r="S598" s="175"/>
      <c r="T598" s="176"/>
      <c r="U598" s="172"/>
      <c r="V598" s="169"/>
      <c r="W598" s="119"/>
      <c r="X598" s="119"/>
    </row>
    <row r="599" spans="13:24" ht="13" thickBot="1" x14ac:dyDescent="0.4">
      <c r="M599" s="121"/>
      <c r="S599" s="175"/>
      <c r="T599" s="176"/>
      <c r="U599" s="172"/>
      <c r="V599" s="169"/>
      <c r="W599" s="119"/>
      <c r="X599" s="119"/>
    </row>
    <row r="600" spans="13:24" ht="13" thickBot="1" x14ac:dyDescent="0.4">
      <c r="M600" s="121"/>
      <c r="S600" s="175"/>
      <c r="T600" s="176"/>
      <c r="U600" s="172"/>
      <c r="V600" s="169"/>
      <c r="W600" s="119"/>
      <c r="X600" s="119"/>
    </row>
    <row r="601" spans="13:24" ht="13" thickBot="1" x14ac:dyDescent="0.4">
      <c r="M601" s="121"/>
      <c r="S601" s="175"/>
      <c r="T601" s="176"/>
      <c r="U601" s="172"/>
      <c r="V601" s="169"/>
      <c r="W601" s="119"/>
      <c r="X601" s="119"/>
    </row>
    <row r="602" spans="13:24" ht="13" thickBot="1" x14ac:dyDescent="0.4">
      <c r="M602" s="121"/>
      <c r="S602" s="175"/>
      <c r="T602" s="176"/>
      <c r="U602" s="172"/>
      <c r="V602" s="169"/>
      <c r="W602" s="119"/>
      <c r="X602" s="119"/>
    </row>
    <row r="603" spans="13:24" ht="13" thickBot="1" x14ac:dyDescent="0.4">
      <c r="M603" s="121"/>
      <c r="S603" s="175"/>
      <c r="T603" s="176"/>
      <c r="U603" s="172"/>
      <c r="V603" s="169"/>
      <c r="W603" s="119"/>
      <c r="X603" s="119"/>
    </row>
    <row r="604" spans="13:24" ht="13" thickBot="1" x14ac:dyDescent="0.4">
      <c r="M604" s="121"/>
      <c r="S604" s="175"/>
      <c r="T604" s="176"/>
      <c r="U604" s="172"/>
      <c r="V604" s="169"/>
      <c r="W604" s="119"/>
      <c r="X604" s="119"/>
    </row>
    <row r="605" spans="13:24" ht="13" thickBot="1" x14ac:dyDescent="0.4">
      <c r="M605" s="121"/>
      <c r="S605" s="175"/>
      <c r="T605" s="176"/>
      <c r="U605" s="172"/>
      <c r="V605" s="169"/>
      <c r="W605" s="119"/>
      <c r="X605" s="119"/>
    </row>
    <row r="606" spans="13:24" ht="13" thickBot="1" x14ac:dyDescent="0.4">
      <c r="M606" s="121"/>
      <c r="S606" s="175"/>
      <c r="T606" s="176"/>
      <c r="U606" s="172"/>
      <c r="V606" s="169"/>
      <c r="W606" s="119"/>
      <c r="X606" s="119"/>
    </row>
    <row r="607" spans="13:24" ht="13" thickBot="1" x14ac:dyDescent="0.4">
      <c r="M607" s="121"/>
      <c r="S607" s="175"/>
      <c r="T607" s="176"/>
      <c r="U607" s="172"/>
      <c r="V607" s="169"/>
      <c r="W607" s="119"/>
      <c r="X607" s="119"/>
    </row>
    <row r="608" spans="13:24" ht="13" thickBot="1" x14ac:dyDescent="0.4">
      <c r="M608" s="121"/>
      <c r="S608" s="175"/>
      <c r="T608" s="176"/>
      <c r="U608" s="172"/>
      <c r="V608" s="169"/>
      <c r="W608" s="119"/>
      <c r="X608" s="119"/>
    </row>
    <row r="609" spans="13:24" ht="13" thickBot="1" x14ac:dyDescent="0.4">
      <c r="M609" s="121"/>
      <c r="S609" s="175"/>
      <c r="T609" s="176"/>
      <c r="U609" s="172"/>
      <c r="V609" s="169"/>
      <c r="W609" s="119"/>
      <c r="X609" s="119"/>
    </row>
    <row r="610" spans="13:24" ht="13" thickBot="1" x14ac:dyDescent="0.4">
      <c r="M610" s="121"/>
      <c r="S610" s="175"/>
      <c r="T610" s="176"/>
      <c r="U610" s="172"/>
      <c r="V610" s="169"/>
      <c r="W610" s="119"/>
      <c r="X610" s="119"/>
    </row>
    <row r="611" spans="13:24" ht="13" thickBot="1" x14ac:dyDescent="0.4">
      <c r="M611" s="121"/>
      <c r="S611" s="175"/>
      <c r="T611" s="176"/>
      <c r="U611" s="172"/>
      <c r="V611" s="169"/>
      <c r="W611" s="119"/>
      <c r="X611" s="119"/>
    </row>
    <row r="612" spans="13:24" ht="13" thickBot="1" x14ac:dyDescent="0.4">
      <c r="M612" s="121"/>
      <c r="S612" s="175"/>
      <c r="T612" s="176"/>
      <c r="U612" s="172"/>
      <c r="V612" s="169"/>
      <c r="W612" s="119"/>
      <c r="X612" s="119"/>
    </row>
    <row r="613" spans="13:24" ht="13" thickBot="1" x14ac:dyDescent="0.4">
      <c r="M613" s="121"/>
      <c r="S613" s="175"/>
      <c r="T613" s="176"/>
      <c r="U613" s="172"/>
      <c r="V613" s="169"/>
      <c r="W613" s="119"/>
      <c r="X613" s="119"/>
    </row>
    <row r="614" spans="13:24" ht="13" thickBot="1" x14ac:dyDescent="0.4">
      <c r="M614" s="121"/>
      <c r="S614" s="175"/>
      <c r="T614" s="176"/>
      <c r="U614" s="172"/>
      <c r="V614" s="169"/>
      <c r="W614" s="119"/>
      <c r="X614" s="119"/>
    </row>
    <row r="615" spans="13:24" ht="13" thickBot="1" x14ac:dyDescent="0.4">
      <c r="M615" s="121"/>
      <c r="S615" s="175"/>
      <c r="T615" s="176"/>
      <c r="U615" s="172"/>
      <c r="V615" s="169"/>
      <c r="W615" s="119"/>
      <c r="X615" s="119"/>
    </row>
    <row r="616" spans="13:24" ht="13" thickBot="1" x14ac:dyDescent="0.4">
      <c r="M616" s="121"/>
      <c r="S616" s="175"/>
      <c r="T616" s="176"/>
      <c r="U616" s="172"/>
      <c r="V616" s="169"/>
      <c r="W616" s="119"/>
      <c r="X616" s="119"/>
    </row>
    <row r="617" spans="13:24" ht="13" thickBot="1" x14ac:dyDescent="0.4">
      <c r="M617" s="121"/>
      <c r="S617" s="175"/>
      <c r="T617" s="176"/>
      <c r="U617" s="172"/>
      <c r="V617" s="169"/>
      <c r="W617" s="119"/>
      <c r="X617" s="119"/>
    </row>
    <row r="618" spans="13:24" ht="13" thickBot="1" x14ac:dyDescent="0.4">
      <c r="M618" s="121"/>
      <c r="S618" s="175"/>
      <c r="T618" s="176"/>
      <c r="U618" s="172"/>
      <c r="V618" s="169"/>
      <c r="W618" s="119"/>
      <c r="X618" s="119"/>
    </row>
    <row r="619" spans="13:24" ht="13" thickBot="1" x14ac:dyDescent="0.4">
      <c r="M619" s="121"/>
      <c r="S619" s="175"/>
      <c r="T619" s="176"/>
      <c r="U619" s="172"/>
      <c r="V619" s="169"/>
      <c r="W619" s="119"/>
      <c r="X619" s="119"/>
    </row>
    <row r="620" spans="13:24" ht="13" thickBot="1" x14ac:dyDescent="0.4">
      <c r="M620" s="121"/>
      <c r="S620" s="175"/>
      <c r="T620" s="176"/>
      <c r="U620" s="172"/>
      <c r="V620" s="169"/>
      <c r="W620" s="119"/>
      <c r="X620" s="119"/>
    </row>
    <row r="621" spans="13:24" ht="13" thickBot="1" x14ac:dyDescent="0.4">
      <c r="M621" s="121"/>
      <c r="S621" s="175"/>
      <c r="T621" s="176"/>
      <c r="U621" s="172"/>
      <c r="V621" s="169"/>
      <c r="W621" s="119"/>
      <c r="X621" s="119"/>
    </row>
    <row r="622" spans="13:24" ht="13" thickBot="1" x14ac:dyDescent="0.4">
      <c r="M622" s="121"/>
      <c r="S622" s="175"/>
      <c r="T622" s="176"/>
      <c r="U622" s="172"/>
      <c r="V622" s="169"/>
      <c r="W622" s="119"/>
      <c r="X622" s="119"/>
    </row>
    <row r="623" spans="13:24" ht="13" thickBot="1" x14ac:dyDescent="0.4">
      <c r="M623" s="121"/>
      <c r="S623" s="175"/>
      <c r="T623" s="176"/>
      <c r="U623" s="172"/>
      <c r="V623" s="169"/>
      <c r="W623" s="119"/>
      <c r="X623" s="119"/>
    </row>
    <row r="624" spans="13:24" ht="13" thickBot="1" x14ac:dyDescent="0.4">
      <c r="M624" s="121"/>
      <c r="S624" s="175"/>
      <c r="T624" s="176"/>
      <c r="U624" s="172"/>
      <c r="V624" s="169"/>
      <c r="W624" s="119"/>
      <c r="X624" s="119"/>
    </row>
    <row r="625" spans="13:24" ht="13" thickBot="1" x14ac:dyDescent="0.4">
      <c r="M625" s="121"/>
      <c r="S625" s="175"/>
      <c r="T625" s="176"/>
      <c r="U625" s="172"/>
      <c r="V625" s="169"/>
      <c r="W625" s="119"/>
      <c r="X625" s="119"/>
    </row>
    <row r="626" spans="13:24" ht="13" thickBot="1" x14ac:dyDescent="0.4">
      <c r="M626" s="121"/>
      <c r="S626" s="175"/>
      <c r="T626" s="176"/>
      <c r="U626" s="172"/>
      <c r="V626" s="169"/>
      <c r="W626" s="119"/>
      <c r="X626" s="119"/>
    </row>
    <row r="627" spans="13:24" ht="13" thickBot="1" x14ac:dyDescent="0.4">
      <c r="M627" s="121"/>
      <c r="S627" s="175"/>
      <c r="T627" s="176"/>
      <c r="U627" s="172"/>
      <c r="V627" s="169"/>
      <c r="W627" s="119"/>
      <c r="X627" s="119"/>
    </row>
    <row r="628" spans="13:24" ht="13" thickBot="1" x14ac:dyDescent="0.4">
      <c r="M628" s="121"/>
      <c r="S628" s="175"/>
      <c r="T628" s="176"/>
      <c r="U628" s="172"/>
      <c r="V628" s="169"/>
      <c r="W628" s="119"/>
      <c r="X628" s="119"/>
    </row>
    <row r="629" spans="13:24" ht="13" thickBot="1" x14ac:dyDescent="0.4">
      <c r="M629" s="121"/>
      <c r="S629" s="175"/>
      <c r="T629" s="176"/>
      <c r="U629" s="172"/>
      <c r="V629" s="169"/>
      <c r="W629" s="119"/>
      <c r="X629" s="119"/>
    </row>
    <row r="630" spans="13:24" ht="13" thickBot="1" x14ac:dyDescent="0.4">
      <c r="M630" s="121"/>
      <c r="S630" s="175"/>
      <c r="T630" s="176"/>
      <c r="U630" s="172"/>
      <c r="V630" s="169"/>
      <c r="W630" s="119"/>
      <c r="X630" s="119"/>
    </row>
    <row r="631" spans="13:24" ht="13" thickBot="1" x14ac:dyDescent="0.4">
      <c r="M631" s="121"/>
      <c r="S631" s="175"/>
      <c r="T631" s="176"/>
      <c r="U631" s="172"/>
      <c r="V631" s="169"/>
      <c r="W631" s="119"/>
      <c r="X631" s="119"/>
    </row>
    <row r="632" spans="13:24" ht="13" thickBot="1" x14ac:dyDescent="0.4">
      <c r="M632" s="121"/>
      <c r="S632" s="175"/>
      <c r="T632" s="176"/>
      <c r="U632" s="172"/>
      <c r="V632" s="169"/>
      <c r="W632" s="119"/>
      <c r="X632" s="119"/>
    </row>
    <row r="633" spans="13:24" ht="13" thickBot="1" x14ac:dyDescent="0.4">
      <c r="M633" s="121"/>
      <c r="S633" s="175"/>
      <c r="T633" s="176"/>
      <c r="U633" s="172"/>
      <c r="V633" s="169"/>
      <c r="W633" s="119"/>
      <c r="X633" s="119"/>
    </row>
    <row r="634" spans="13:24" ht="13" thickBot="1" x14ac:dyDescent="0.4">
      <c r="M634" s="121"/>
      <c r="S634" s="175"/>
      <c r="T634" s="176"/>
      <c r="U634" s="172"/>
      <c r="V634" s="169"/>
      <c r="W634" s="119"/>
      <c r="X634" s="119"/>
    </row>
    <row r="635" spans="13:24" ht="13" thickBot="1" x14ac:dyDescent="0.4">
      <c r="M635" s="121"/>
      <c r="S635" s="175"/>
      <c r="T635" s="176"/>
      <c r="U635" s="172"/>
      <c r="V635" s="169"/>
      <c r="W635" s="119"/>
      <c r="X635" s="119"/>
    </row>
    <row r="636" spans="13:24" ht="13" thickBot="1" x14ac:dyDescent="0.4">
      <c r="M636" s="121"/>
      <c r="S636" s="175"/>
      <c r="T636" s="176"/>
      <c r="U636" s="172"/>
      <c r="V636" s="169"/>
      <c r="W636" s="119"/>
      <c r="X636" s="119"/>
    </row>
    <row r="637" spans="13:24" ht="13" thickBot="1" x14ac:dyDescent="0.4">
      <c r="M637" s="121"/>
      <c r="S637" s="175"/>
      <c r="T637" s="176"/>
      <c r="U637" s="172"/>
      <c r="V637" s="169"/>
      <c r="W637" s="119"/>
      <c r="X637" s="119"/>
    </row>
    <row r="638" spans="13:24" ht="13" thickBot="1" x14ac:dyDescent="0.4">
      <c r="M638" s="121"/>
      <c r="S638" s="175"/>
      <c r="T638" s="176"/>
      <c r="U638" s="172"/>
      <c r="V638" s="169"/>
      <c r="W638" s="119"/>
      <c r="X638" s="119"/>
    </row>
    <row r="639" spans="13:24" ht="13" thickBot="1" x14ac:dyDescent="0.4">
      <c r="M639" s="121"/>
      <c r="S639" s="175"/>
      <c r="T639" s="176"/>
      <c r="U639" s="172"/>
      <c r="V639" s="169"/>
      <c r="W639" s="119"/>
      <c r="X639" s="119"/>
    </row>
    <row r="640" spans="13:24" ht="13" thickBot="1" x14ac:dyDescent="0.4">
      <c r="M640" s="121"/>
      <c r="S640" s="175"/>
      <c r="T640" s="176"/>
      <c r="U640" s="172"/>
      <c r="V640" s="169"/>
      <c r="W640" s="119"/>
      <c r="X640" s="119"/>
    </row>
    <row r="641" spans="13:24" ht="13" thickBot="1" x14ac:dyDescent="0.4">
      <c r="M641" s="121"/>
      <c r="S641" s="175"/>
      <c r="T641" s="176"/>
      <c r="U641" s="172"/>
      <c r="V641" s="169"/>
      <c r="W641" s="119"/>
      <c r="X641" s="119"/>
    </row>
    <row r="642" spans="13:24" ht="13" thickBot="1" x14ac:dyDescent="0.4">
      <c r="M642" s="121"/>
      <c r="S642" s="175"/>
      <c r="T642" s="176"/>
      <c r="U642" s="172"/>
      <c r="V642" s="169"/>
      <c r="W642" s="119"/>
      <c r="X642" s="119"/>
    </row>
    <row r="643" spans="13:24" ht="13" thickBot="1" x14ac:dyDescent="0.4">
      <c r="M643" s="121"/>
      <c r="S643" s="175"/>
      <c r="T643" s="176"/>
      <c r="U643" s="172"/>
      <c r="V643" s="169"/>
      <c r="W643" s="119"/>
      <c r="X643" s="119"/>
    </row>
    <row r="644" spans="13:24" ht="13" thickBot="1" x14ac:dyDescent="0.4">
      <c r="M644" s="121"/>
      <c r="S644" s="175"/>
      <c r="T644" s="176"/>
      <c r="U644" s="172"/>
      <c r="V644" s="169"/>
      <c r="W644" s="119"/>
      <c r="X644" s="119"/>
    </row>
    <row r="645" spans="13:24" ht="13" thickBot="1" x14ac:dyDescent="0.4">
      <c r="M645" s="121"/>
      <c r="S645" s="175"/>
      <c r="T645" s="176"/>
      <c r="U645" s="172"/>
      <c r="V645" s="169"/>
      <c r="W645" s="119"/>
      <c r="X645" s="119"/>
    </row>
    <row r="646" spans="13:24" ht="13" thickBot="1" x14ac:dyDescent="0.4">
      <c r="M646" s="121"/>
      <c r="S646" s="175"/>
      <c r="T646" s="176"/>
      <c r="U646" s="172"/>
      <c r="V646" s="169"/>
      <c r="W646" s="119"/>
      <c r="X646" s="119"/>
    </row>
    <row r="647" spans="13:24" ht="13" thickBot="1" x14ac:dyDescent="0.4">
      <c r="M647" s="121"/>
      <c r="S647" s="175"/>
      <c r="T647" s="176"/>
      <c r="U647" s="172"/>
      <c r="V647" s="169"/>
      <c r="W647" s="119"/>
      <c r="X647" s="119"/>
    </row>
    <row r="648" spans="13:24" ht="13" thickBot="1" x14ac:dyDescent="0.4">
      <c r="M648" s="121"/>
      <c r="S648" s="175"/>
      <c r="T648" s="176"/>
      <c r="U648" s="172"/>
      <c r="V648" s="169"/>
      <c r="W648" s="119"/>
      <c r="X648" s="119"/>
    </row>
    <row r="649" spans="13:24" ht="13" thickBot="1" x14ac:dyDescent="0.4">
      <c r="M649" s="121"/>
      <c r="S649" s="175"/>
      <c r="T649" s="176"/>
      <c r="U649" s="172"/>
      <c r="V649" s="169"/>
      <c r="W649" s="119"/>
      <c r="X649" s="119"/>
    </row>
    <row r="650" spans="13:24" ht="13" thickBot="1" x14ac:dyDescent="0.4">
      <c r="M650" s="121"/>
      <c r="S650" s="175"/>
      <c r="T650" s="176"/>
      <c r="U650" s="172"/>
      <c r="V650" s="169"/>
      <c r="W650" s="119"/>
      <c r="X650" s="119"/>
    </row>
    <row r="651" spans="13:24" ht="13" thickBot="1" x14ac:dyDescent="0.4">
      <c r="M651" s="121"/>
      <c r="S651" s="175"/>
      <c r="T651" s="176"/>
      <c r="U651" s="172"/>
      <c r="V651" s="169"/>
      <c r="W651" s="119"/>
      <c r="X651" s="119"/>
    </row>
    <row r="652" spans="13:24" ht="13" thickBot="1" x14ac:dyDescent="0.4">
      <c r="M652" s="121"/>
      <c r="S652" s="175"/>
      <c r="T652" s="176"/>
      <c r="U652" s="172"/>
      <c r="V652" s="169"/>
      <c r="W652" s="119"/>
      <c r="X652" s="119"/>
    </row>
    <row r="653" spans="13:24" ht="13" thickBot="1" x14ac:dyDescent="0.4">
      <c r="M653" s="121"/>
      <c r="S653" s="175"/>
      <c r="T653" s="176"/>
      <c r="U653" s="172"/>
      <c r="V653" s="169"/>
      <c r="W653" s="119"/>
      <c r="X653" s="119"/>
    </row>
    <row r="654" spans="13:24" ht="13" thickBot="1" x14ac:dyDescent="0.4">
      <c r="M654" s="121"/>
      <c r="S654" s="175"/>
      <c r="T654" s="176"/>
      <c r="U654" s="172"/>
      <c r="V654" s="169"/>
      <c r="W654" s="119"/>
      <c r="X654" s="119"/>
    </row>
    <row r="655" spans="13:24" ht="13" thickBot="1" x14ac:dyDescent="0.4">
      <c r="M655" s="121"/>
      <c r="S655" s="175"/>
      <c r="T655" s="176"/>
      <c r="U655" s="172"/>
      <c r="V655" s="169"/>
      <c r="W655" s="119"/>
      <c r="X655" s="119"/>
    </row>
    <row r="656" spans="13:24" ht="13" thickBot="1" x14ac:dyDescent="0.4">
      <c r="M656" s="121"/>
      <c r="S656" s="175"/>
      <c r="T656" s="176"/>
      <c r="U656" s="172"/>
      <c r="V656" s="169"/>
      <c r="W656" s="119"/>
      <c r="X656" s="119"/>
    </row>
    <row r="657" spans="13:24" ht="13" thickBot="1" x14ac:dyDescent="0.4">
      <c r="M657" s="121"/>
      <c r="S657" s="175"/>
      <c r="T657" s="176"/>
      <c r="U657" s="172"/>
      <c r="V657" s="169"/>
      <c r="W657" s="119"/>
      <c r="X657" s="119"/>
    </row>
    <row r="658" spans="13:24" ht="13" thickBot="1" x14ac:dyDescent="0.4">
      <c r="M658" s="121"/>
      <c r="S658" s="175"/>
      <c r="T658" s="176"/>
      <c r="U658" s="172"/>
      <c r="V658" s="169"/>
      <c r="W658" s="119"/>
      <c r="X658" s="119"/>
    </row>
    <row r="659" spans="13:24" ht="13" thickBot="1" x14ac:dyDescent="0.4">
      <c r="M659" s="121"/>
      <c r="S659" s="175"/>
      <c r="T659" s="176"/>
      <c r="U659" s="172"/>
      <c r="V659" s="169"/>
      <c r="W659" s="119"/>
      <c r="X659" s="119"/>
    </row>
    <row r="660" spans="13:24" ht="13" thickBot="1" x14ac:dyDescent="0.4">
      <c r="M660" s="121"/>
      <c r="S660" s="175"/>
      <c r="T660" s="176"/>
      <c r="U660" s="172"/>
      <c r="V660" s="169"/>
      <c r="W660" s="119"/>
      <c r="X660" s="119"/>
    </row>
    <row r="661" spans="13:24" ht="13" thickBot="1" x14ac:dyDescent="0.4">
      <c r="M661" s="121"/>
      <c r="S661" s="175"/>
      <c r="T661" s="176"/>
      <c r="U661" s="172"/>
      <c r="V661" s="169"/>
      <c r="W661" s="119"/>
      <c r="X661" s="119"/>
    </row>
    <row r="662" spans="13:24" ht="13" thickBot="1" x14ac:dyDescent="0.4">
      <c r="M662" s="121"/>
      <c r="S662" s="175"/>
      <c r="T662" s="176"/>
      <c r="U662" s="172"/>
      <c r="V662" s="169"/>
      <c r="W662" s="119"/>
      <c r="X662" s="119"/>
    </row>
    <row r="663" spans="13:24" ht="13" thickBot="1" x14ac:dyDescent="0.4">
      <c r="M663" s="121"/>
      <c r="S663" s="175"/>
      <c r="T663" s="176"/>
      <c r="U663" s="172"/>
      <c r="V663" s="169"/>
      <c r="W663" s="119"/>
      <c r="X663" s="119"/>
    </row>
    <row r="664" spans="13:24" ht="13" thickBot="1" x14ac:dyDescent="0.4">
      <c r="M664" s="121"/>
      <c r="S664" s="175"/>
      <c r="T664" s="176"/>
      <c r="U664" s="172"/>
      <c r="V664" s="169"/>
      <c r="W664" s="119"/>
      <c r="X664" s="119"/>
    </row>
    <row r="665" spans="13:24" ht="13" thickBot="1" x14ac:dyDescent="0.4">
      <c r="M665" s="121"/>
      <c r="S665" s="175"/>
      <c r="T665" s="176"/>
      <c r="U665" s="172"/>
      <c r="V665" s="169"/>
      <c r="W665" s="119"/>
      <c r="X665" s="119"/>
    </row>
    <row r="666" spans="13:24" ht="13" thickBot="1" x14ac:dyDescent="0.4">
      <c r="M666" s="121"/>
      <c r="S666" s="175"/>
      <c r="T666" s="176"/>
      <c r="U666" s="172"/>
      <c r="V666" s="169"/>
      <c r="W666" s="119"/>
      <c r="X666" s="119"/>
    </row>
    <row r="667" spans="13:24" ht="13" thickBot="1" x14ac:dyDescent="0.4">
      <c r="M667" s="121"/>
      <c r="S667" s="175"/>
      <c r="T667" s="176"/>
      <c r="U667" s="172"/>
      <c r="V667" s="169"/>
      <c r="W667" s="119"/>
      <c r="X667" s="119"/>
    </row>
    <row r="668" spans="13:24" ht="13" thickBot="1" x14ac:dyDescent="0.4">
      <c r="M668" s="121"/>
      <c r="S668" s="175"/>
      <c r="T668" s="176"/>
      <c r="U668" s="172"/>
      <c r="V668" s="169"/>
      <c r="W668" s="119"/>
      <c r="X668" s="119"/>
    </row>
    <row r="669" spans="13:24" ht="13" thickBot="1" x14ac:dyDescent="0.4">
      <c r="M669" s="121"/>
      <c r="S669" s="175"/>
      <c r="T669" s="176"/>
      <c r="U669" s="172"/>
      <c r="V669" s="169"/>
      <c r="W669" s="119"/>
      <c r="X669" s="119"/>
    </row>
    <row r="670" spans="13:24" ht="13" thickBot="1" x14ac:dyDescent="0.4">
      <c r="M670" s="121"/>
      <c r="S670" s="175"/>
      <c r="T670" s="176"/>
      <c r="U670" s="172"/>
      <c r="V670" s="169"/>
      <c r="W670" s="119"/>
      <c r="X670" s="119"/>
    </row>
    <row r="671" spans="13:24" ht="13" thickBot="1" x14ac:dyDescent="0.4">
      <c r="M671" s="121"/>
      <c r="S671" s="175"/>
      <c r="T671" s="176"/>
      <c r="U671" s="172"/>
      <c r="V671" s="169"/>
      <c r="W671" s="119"/>
      <c r="X671" s="119"/>
    </row>
    <row r="672" spans="13:24" ht="13" thickBot="1" x14ac:dyDescent="0.4">
      <c r="M672" s="121"/>
      <c r="S672" s="175"/>
      <c r="T672" s="176"/>
      <c r="U672" s="172"/>
      <c r="V672" s="169"/>
      <c r="W672" s="119"/>
      <c r="X672" s="119"/>
    </row>
    <row r="673" spans="13:24" ht="13" thickBot="1" x14ac:dyDescent="0.4">
      <c r="M673" s="121"/>
      <c r="S673" s="175"/>
      <c r="T673" s="176"/>
      <c r="U673" s="172"/>
      <c r="V673" s="169"/>
      <c r="W673" s="119"/>
      <c r="X673" s="119"/>
    </row>
    <row r="674" spans="13:24" ht="13" thickBot="1" x14ac:dyDescent="0.4">
      <c r="M674" s="121"/>
      <c r="S674" s="175"/>
      <c r="T674" s="176"/>
      <c r="U674" s="172"/>
      <c r="V674" s="169"/>
      <c r="W674" s="119"/>
      <c r="X674" s="119"/>
    </row>
    <row r="675" spans="13:24" ht="13" thickBot="1" x14ac:dyDescent="0.4">
      <c r="M675" s="121"/>
      <c r="S675" s="175"/>
      <c r="T675" s="176"/>
      <c r="U675" s="172"/>
      <c r="V675" s="169"/>
      <c r="W675" s="119"/>
      <c r="X675" s="119"/>
    </row>
    <row r="676" spans="13:24" ht="13" thickBot="1" x14ac:dyDescent="0.4">
      <c r="M676" s="121"/>
      <c r="S676" s="175"/>
      <c r="T676" s="176"/>
      <c r="U676" s="172"/>
      <c r="V676" s="169"/>
      <c r="W676" s="119"/>
      <c r="X676" s="119"/>
    </row>
    <row r="677" spans="13:24" ht="13" thickBot="1" x14ac:dyDescent="0.4">
      <c r="M677" s="121"/>
      <c r="S677" s="175"/>
      <c r="T677" s="176"/>
      <c r="U677" s="172"/>
      <c r="V677" s="169"/>
      <c r="W677" s="119"/>
      <c r="X677" s="119"/>
    </row>
    <row r="678" spans="13:24" ht="13" thickBot="1" x14ac:dyDescent="0.4">
      <c r="M678" s="121"/>
      <c r="S678" s="175"/>
      <c r="T678" s="176"/>
      <c r="U678" s="172"/>
      <c r="V678" s="169"/>
      <c r="W678" s="119"/>
      <c r="X678" s="119"/>
    </row>
    <row r="679" spans="13:24" ht="13" thickBot="1" x14ac:dyDescent="0.4">
      <c r="M679" s="121"/>
      <c r="S679" s="175"/>
      <c r="T679" s="176"/>
      <c r="U679" s="172"/>
      <c r="V679" s="169"/>
      <c r="W679" s="119"/>
      <c r="X679" s="119"/>
    </row>
    <row r="680" spans="13:24" ht="13" thickBot="1" x14ac:dyDescent="0.4">
      <c r="M680" s="121"/>
      <c r="S680" s="175"/>
      <c r="T680" s="176"/>
      <c r="U680" s="172"/>
      <c r="V680" s="169"/>
      <c r="W680" s="119"/>
      <c r="X680" s="119"/>
    </row>
    <row r="681" spans="13:24" ht="13" thickBot="1" x14ac:dyDescent="0.4">
      <c r="M681" s="121"/>
      <c r="S681" s="175"/>
      <c r="T681" s="176"/>
      <c r="U681" s="172"/>
      <c r="V681" s="169"/>
      <c r="W681" s="119"/>
      <c r="X681" s="119"/>
    </row>
    <row r="682" spans="13:24" ht="13" thickBot="1" x14ac:dyDescent="0.4">
      <c r="M682" s="121"/>
      <c r="S682" s="175"/>
      <c r="T682" s="176"/>
      <c r="U682" s="172"/>
      <c r="V682" s="169"/>
      <c r="W682" s="119"/>
      <c r="X682" s="119"/>
    </row>
    <row r="683" spans="13:24" ht="13" thickBot="1" x14ac:dyDescent="0.4">
      <c r="M683" s="121"/>
      <c r="S683" s="175"/>
      <c r="T683" s="176"/>
      <c r="U683" s="172"/>
      <c r="V683" s="169"/>
      <c r="W683" s="119"/>
      <c r="X683" s="119"/>
    </row>
    <row r="684" spans="13:24" ht="13" thickBot="1" x14ac:dyDescent="0.4">
      <c r="M684" s="121"/>
      <c r="S684" s="175"/>
      <c r="T684" s="176"/>
      <c r="U684" s="172"/>
      <c r="V684" s="169"/>
      <c r="W684" s="119"/>
      <c r="X684" s="119"/>
    </row>
    <row r="685" spans="13:24" ht="13" thickBot="1" x14ac:dyDescent="0.4">
      <c r="M685" s="121"/>
      <c r="S685" s="175"/>
      <c r="T685" s="176"/>
      <c r="U685" s="172"/>
      <c r="V685" s="169"/>
      <c r="W685" s="119"/>
      <c r="X685" s="119"/>
    </row>
    <row r="686" spans="13:24" ht="13" thickBot="1" x14ac:dyDescent="0.4">
      <c r="M686" s="121"/>
      <c r="S686" s="175"/>
      <c r="T686" s="176"/>
      <c r="U686" s="172"/>
      <c r="V686" s="169"/>
      <c r="W686" s="119"/>
      <c r="X686" s="119"/>
    </row>
    <row r="687" spans="13:24" ht="13" thickBot="1" x14ac:dyDescent="0.4">
      <c r="M687" s="121"/>
      <c r="S687" s="175"/>
      <c r="T687" s="176"/>
      <c r="U687" s="172"/>
      <c r="V687" s="169"/>
      <c r="W687" s="119"/>
      <c r="X687" s="119"/>
    </row>
    <row r="688" spans="13:24" ht="13" thickBot="1" x14ac:dyDescent="0.4">
      <c r="M688" s="121"/>
      <c r="S688" s="175"/>
      <c r="T688" s="176"/>
      <c r="U688" s="172"/>
      <c r="V688" s="169"/>
      <c r="W688" s="119"/>
      <c r="X688" s="119"/>
    </row>
    <row r="689" spans="13:24" ht="13" thickBot="1" x14ac:dyDescent="0.4">
      <c r="M689" s="121"/>
      <c r="S689" s="175"/>
      <c r="T689" s="176"/>
      <c r="U689" s="172"/>
      <c r="V689" s="169"/>
      <c r="W689" s="119"/>
      <c r="X689" s="119"/>
    </row>
    <row r="690" spans="13:24" ht="13" thickBot="1" x14ac:dyDescent="0.4">
      <c r="M690" s="121"/>
      <c r="S690" s="175"/>
      <c r="T690" s="176"/>
      <c r="U690" s="172"/>
      <c r="V690" s="169"/>
      <c r="W690" s="119"/>
      <c r="X690" s="119"/>
    </row>
    <row r="691" spans="13:24" ht="13" thickBot="1" x14ac:dyDescent="0.4">
      <c r="M691" s="121"/>
      <c r="S691" s="175"/>
      <c r="T691" s="176"/>
      <c r="U691" s="172"/>
      <c r="V691" s="169"/>
      <c r="W691" s="119"/>
      <c r="X691" s="119"/>
    </row>
    <row r="692" spans="13:24" ht="13" thickBot="1" x14ac:dyDescent="0.4">
      <c r="M692" s="121"/>
      <c r="S692" s="175"/>
      <c r="T692" s="176"/>
      <c r="U692" s="172"/>
      <c r="V692" s="169"/>
      <c r="W692" s="119"/>
      <c r="X692" s="119"/>
    </row>
    <row r="693" spans="13:24" ht="13" thickBot="1" x14ac:dyDescent="0.4">
      <c r="M693" s="121"/>
      <c r="S693" s="175"/>
      <c r="T693" s="176"/>
      <c r="U693" s="172"/>
      <c r="V693" s="169"/>
      <c r="W693" s="119"/>
      <c r="X693" s="119"/>
    </row>
    <row r="694" spans="13:24" ht="13" thickBot="1" x14ac:dyDescent="0.4">
      <c r="M694" s="121"/>
      <c r="S694" s="175"/>
      <c r="T694" s="176"/>
      <c r="U694" s="172"/>
      <c r="V694" s="169"/>
      <c r="W694" s="119"/>
      <c r="X694" s="119"/>
    </row>
    <row r="695" spans="13:24" ht="13" thickBot="1" x14ac:dyDescent="0.4">
      <c r="M695" s="121"/>
      <c r="S695" s="175"/>
      <c r="T695" s="176"/>
      <c r="U695" s="172"/>
      <c r="V695" s="169"/>
      <c r="W695" s="119"/>
      <c r="X695" s="119"/>
    </row>
    <row r="696" spans="13:24" ht="13" thickBot="1" x14ac:dyDescent="0.4">
      <c r="M696" s="121"/>
      <c r="S696" s="175"/>
      <c r="T696" s="176"/>
      <c r="U696" s="172"/>
      <c r="V696" s="169"/>
      <c r="W696" s="119"/>
      <c r="X696" s="119"/>
    </row>
    <row r="697" spans="13:24" ht="13" thickBot="1" x14ac:dyDescent="0.4">
      <c r="M697" s="121"/>
      <c r="S697" s="175"/>
      <c r="T697" s="176"/>
      <c r="U697" s="172"/>
      <c r="V697" s="169"/>
      <c r="W697" s="119"/>
      <c r="X697" s="119"/>
    </row>
    <row r="698" spans="13:24" ht="13" thickBot="1" x14ac:dyDescent="0.4">
      <c r="M698" s="121"/>
      <c r="S698" s="175"/>
      <c r="T698" s="176"/>
      <c r="U698" s="172"/>
      <c r="V698" s="169"/>
      <c r="W698" s="119"/>
      <c r="X698" s="119"/>
    </row>
    <row r="699" spans="13:24" ht="13" thickBot="1" x14ac:dyDescent="0.4">
      <c r="M699" s="121"/>
      <c r="S699" s="175"/>
      <c r="T699" s="176"/>
      <c r="U699" s="172"/>
      <c r="V699" s="169"/>
      <c r="W699" s="119"/>
      <c r="X699" s="119"/>
    </row>
    <row r="700" spans="13:24" ht="13" thickBot="1" x14ac:dyDescent="0.4">
      <c r="M700" s="121"/>
      <c r="S700" s="175"/>
      <c r="T700" s="176"/>
      <c r="U700" s="172"/>
      <c r="V700" s="169"/>
      <c r="W700" s="119"/>
      <c r="X700" s="119"/>
    </row>
    <row r="701" spans="13:24" ht="13" thickBot="1" x14ac:dyDescent="0.4">
      <c r="M701" s="121"/>
      <c r="S701" s="175"/>
      <c r="T701" s="176"/>
      <c r="U701" s="172"/>
      <c r="V701" s="169"/>
      <c r="W701" s="119"/>
      <c r="X701" s="119"/>
    </row>
    <row r="702" spans="13:24" ht="13" thickBot="1" x14ac:dyDescent="0.4">
      <c r="M702" s="121"/>
      <c r="S702" s="175"/>
      <c r="T702" s="176"/>
      <c r="U702" s="172"/>
      <c r="V702" s="169"/>
      <c r="W702" s="119"/>
      <c r="X702" s="119"/>
    </row>
    <row r="703" spans="13:24" ht="13" thickBot="1" x14ac:dyDescent="0.4">
      <c r="M703" s="121"/>
      <c r="S703" s="175"/>
      <c r="T703" s="176"/>
      <c r="U703" s="172"/>
      <c r="V703" s="169"/>
      <c r="W703" s="119"/>
      <c r="X703" s="119"/>
    </row>
    <row r="704" spans="13:24" ht="13" thickBot="1" x14ac:dyDescent="0.4">
      <c r="M704" s="121"/>
      <c r="S704" s="175"/>
      <c r="T704" s="176"/>
      <c r="U704" s="172"/>
      <c r="V704" s="169"/>
      <c r="W704" s="119"/>
      <c r="X704" s="119"/>
    </row>
    <row r="705" spans="13:24" ht="13" thickBot="1" x14ac:dyDescent="0.4">
      <c r="M705" s="121"/>
      <c r="S705" s="175"/>
      <c r="T705" s="176"/>
      <c r="U705" s="172"/>
      <c r="V705" s="169"/>
      <c r="W705" s="119"/>
      <c r="X705" s="119"/>
    </row>
    <row r="706" spans="13:24" ht="13" thickBot="1" x14ac:dyDescent="0.4">
      <c r="M706" s="121"/>
      <c r="S706" s="175"/>
      <c r="T706" s="176"/>
      <c r="U706" s="172"/>
      <c r="V706" s="169"/>
      <c r="W706" s="119"/>
      <c r="X706" s="119"/>
    </row>
    <row r="707" spans="13:24" ht="13" thickBot="1" x14ac:dyDescent="0.4">
      <c r="M707" s="121"/>
      <c r="S707" s="175"/>
      <c r="T707" s="176"/>
      <c r="U707" s="172"/>
      <c r="V707" s="169"/>
      <c r="W707" s="119"/>
      <c r="X707" s="119"/>
    </row>
    <row r="708" spans="13:24" ht="13" thickBot="1" x14ac:dyDescent="0.4">
      <c r="M708" s="121"/>
      <c r="S708" s="175"/>
      <c r="T708" s="176"/>
      <c r="U708" s="172"/>
      <c r="V708" s="169"/>
      <c r="W708" s="119"/>
      <c r="X708" s="119"/>
    </row>
    <row r="709" spans="13:24" ht="13" thickBot="1" x14ac:dyDescent="0.4">
      <c r="M709" s="121"/>
      <c r="S709" s="175"/>
      <c r="T709" s="176"/>
      <c r="U709" s="172"/>
      <c r="V709" s="169"/>
      <c r="W709" s="119"/>
      <c r="X709" s="119"/>
    </row>
    <row r="710" spans="13:24" ht="13" thickBot="1" x14ac:dyDescent="0.4">
      <c r="M710" s="121"/>
      <c r="S710" s="175"/>
      <c r="T710" s="176"/>
      <c r="U710" s="172"/>
      <c r="V710" s="169"/>
      <c r="W710" s="119"/>
      <c r="X710" s="119"/>
    </row>
    <row r="711" spans="13:24" ht="13" thickBot="1" x14ac:dyDescent="0.4">
      <c r="M711" s="121"/>
      <c r="S711" s="175"/>
      <c r="T711" s="176"/>
      <c r="U711" s="172"/>
      <c r="V711" s="169"/>
      <c r="W711" s="119"/>
      <c r="X711" s="119"/>
    </row>
    <row r="712" spans="13:24" ht="13" thickBot="1" x14ac:dyDescent="0.4">
      <c r="M712" s="121"/>
      <c r="S712" s="175"/>
      <c r="T712" s="176"/>
      <c r="U712" s="172"/>
      <c r="V712" s="169"/>
      <c r="W712" s="119"/>
      <c r="X712" s="119"/>
    </row>
    <row r="713" spans="13:24" ht="13" thickBot="1" x14ac:dyDescent="0.4">
      <c r="M713" s="121"/>
      <c r="S713" s="175"/>
      <c r="T713" s="176"/>
      <c r="U713" s="172"/>
      <c r="V713" s="169"/>
      <c r="W713" s="119"/>
      <c r="X713" s="119"/>
    </row>
    <row r="714" spans="13:24" ht="13" thickBot="1" x14ac:dyDescent="0.4">
      <c r="M714" s="121"/>
      <c r="S714" s="175"/>
      <c r="T714" s="176"/>
      <c r="U714" s="172"/>
      <c r="V714" s="169"/>
      <c r="W714" s="119"/>
      <c r="X714" s="119"/>
    </row>
    <row r="715" spans="13:24" ht="13" thickBot="1" x14ac:dyDescent="0.4">
      <c r="M715" s="121"/>
      <c r="S715" s="175"/>
      <c r="T715" s="176"/>
      <c r="U715" s="172"/>
      <c r="V715" s="169"/>
      <c r="W715" s="119"/>
      <c r="X715" s="119"/>
    </row>
    <row r="716" spans="13:24" ht="13" thickBot="1" x14ac:dyDescent="0.4">
      <c r="M716" s="121"/>
      <c r="S716" s="175"/>
      <c r="T716" s="176"/>
      <c r="U716" s="172"/>
      <c r="V716" s="169"/>
      <c r="W716" s="119"/>
      <c r="X716" s="119"/>
    </row>
    <row r="717" spans="13:24" ht="13" thickBot="1" x14ac:dyDescent="0.4">
      <c r="M717" s="121"/>
      <c r="S717" s="175"/>
      <c r="T717" s="176"/>
      <c r="U717" s="172"/>
      <c r="V717" s="169"/>
      <c r="W717" s="119"/>
      <c r="X717" s="119"/>
    </row>
    <row r="718" spans="13:24" ht="13" thickBot="1" x14ac:dyDescent="0.4">
      <c r="M718" s="121"/>
      <c r="S718" s="175"/>
      <c r="T718" s="176"/>
      <c r="U718" s="172"/>
      <c r="V718" s="169"/>
      <c r="W718" s="119"/>
      <c r="X718" s="119"/>
    </row>
    <row r="719" spans="13:24" ht="13" thickBot="1" x14ac:dyDescent="0.4">
      <c r="M719" s="121"/>
      <c r="S719" s="175"/>
      <c r="T719" s="176"/>
      <c r="U719" s="172"/>
      <c r="V719" s="169"/>
      <c r="W719" s="119"/>
      <c r="X719" s="119"/>
    </row>
    <row r="720" spans="13:24" ht="13" thickBot="1" x14ac:dyDescent="0.4">
      <c r="M720" s="121"/>
      <c r="S720" s="175"/>
      <c r="T720" s="176"/>
      <c r="U720" s="172"/>
      <c r="V720" s="169"/>
      <c r="W720" s="119"/>
      <c r="X720" s="119"/>
    </row>
    <row r="721" spans="13:24" ht="13" thickBot="1" x14ac:dyDescent="0.4">
      <c r="M721" s="121"/>
      <c r="S721" s="175"/>
      <c r="T721" s="176"/>
      <c r="U721" s="172"/>
      <c r="V721" s="169"/>
      <c r="W721" s="119"/>
      <c r="X721" s="119"/>
    </row>
    <row r="722" spans="13:24" ht="13" thickBot="1" x14ac:dyDescent="0.4">
      <c r="M722" s="121"/>
      <c r="S722" s="175"/>
      <c r="T722" s="176"/>
      <c r="U722" s="172"/>
      <c r="V722" s="169"/>
      <c r="W722" s="119"/>
      <c r="X722" s="119"/>
    </row>
    <row r="723" spans="13:24" ht="13" thickBot="1" x14ac:dyDescent="0.4">
      <c r="M723" s="121"/>
      <c r="S723" s="175"/>
      <c r="T723" s="176"/>
      <c r="U723" s="172"/>
      <c r="V723" s="169"/>
      <c r="W723" s="119"/>
      <c r="X723" s="119"/>
    </row>
    <row r="724" spans="13:24" ht="13" thickBot="1" x14ac:dyDescent="0.4">
      <c r="M724" s="121"/>
      <c r="S724" s="175"/>
      <c r="T724" s="176"/>
      <c r="U724" s="172"/>
      <c r="V724" s="169"/>
      <c r="W724" s="119"/>
      <c r="X724" s="119"/>
    </row>
    <row r="725" spans="13:24" ht="13" thickBot="1" x14ac:dyDescent="0.4">
      <c r="M725" s="121"/>
      <c r="S725" s="175"/>
      <c r="T725" s="176"/>
      <c r="U725" s="172"/>
      <c r="V725" s="169"/>
      <c r="W725" s="119"/>
      <c r="X725" s="119"/>
    </row>
    <row r="726" spans="13:24" ht="13" thickBot="1" x14ac:dyDescent="0.4">
      <c r="M726" s="121"/>
      <c r="S726" s="175"/>
      <c r="T726" s="176"/>
      <c r="U726" s="172"/>
      <c r="V726" s="169"/>
      <c r="W726" s="119"/>
      <c r="X726" s="119"/>
    </row>
    <row r="727" spans="13:24" ht="13" thickBot="1" x14ac:dyDescent="0.4">
      <c r="M727" s="121"/>
      <c r="S727" s="175"/>
      <c r="T727" s="176"/>
      <c r="U727" s="172"/>
      <c r="V727" s="169"/>
      <c r="W727" s="119"/>
      <c r="X727" s="119"/>
    </row>
    <row r="728" spans="13:24" ht="13" thickBot="1" x14ac:dyDescent="0.4">
      <c r="M728" s="121"/>
      <c r="S728" s="175"/>
      <c r="T728" s="176"/>
      <c r="U728" s="172"/>
      <c r="V728" s="169"/>
      <c r="W728" s="119"/>
      <c r="X728" s="119"/>
    </row>
    <row r="729" spans="13:24" ht="13" thickBot="1" x14ac:dyDescent="0.4">
      <c r="M729" s="121"/>
      <c r="S729" s="175"/>
      <c r="T729" s="176"/>
      <c r="U729" s="172"/>
      <c r="V729" s="169"/>
      <c r="W729" s="119"/>
      <c r="X729" s="119"/>
    </row>
    <row r="730" spans="13:24" ht="13" thickBot="1" x14ac:dyDescent="0.4">
      <c r="M730" s="121"/>
      <c r="S730" s="175"/>
      <c r="T730" s="176"/>
      <c r="U730" s="172"/>
      <c r="V730" s="169"/>
      <c r="W730" s="119"/>
      <c r="X730" s="119"/>
    </row>
    <row r="731" spans="13:24" ht="13" thickBot="1" x14ac:dyDescent="0.4">
      <c r="M731" s="121"/>
      <c r="S731" s="175"/>
      <c r="T731" s="176"/>
      <c r="U731" s="172"/>
      <c r="V731" s="169"/>
      <c r="W731" s="119"/>
      <c r="X731" s="119"/>
    </row>
    <row r="732" spans="13:24" ht="13" thickBot="1" x14ac:dyDescent="0.4">
      <c r="M732" s="121"/>
      <c r="S732" s="175"/>
      <c r="T732" s="176"/>
      <c r="U732" s="172"/>
      <c r="V732" s="169"/>
      <c r="W732" s="119"/>
      <c r="X732" s="119"/>
    </row>
    <row r="733" spans="13:24" ht="13" thickBot="1" x14ac:dyDescent="0.4">
      <c r="M733" s="121"/>
      <c r="S733" s="175"/>
      <c r="T733" s="176"/>
      <c r="U733" s="172"/>
      <c r="V733" s="169"/>
      <c r="W733" s="119"/>
      <c r="X733" s="119"/>
    </row>
    <row r="734" spans="13:24" ht="13" thickBot="1" x14ac:dyDescent="0.4">
      <c r="M734" s="121"/>
      <c r="S734" s="175"/>
      <c r="T734" s="176"/>
      <c r="U734" s="172"/>
      <c r="V734" s="169"/>
      <c r="W734" s="119"/>
      <c r="X734" s="119"/>
    </row>
    <row r="735" spans="13:24" ht="13" thickBot="1" x14ac:dyDescent="0.4">
      <c r="M735" s="121"/>
      <c r="S735" s="175"/>
      <c r="T735" s="176"/>
      <c r="U735" s="172"/>
      <c r="V735" s="169"/>
      <c r="W735" s="119"/>
      <c r="X735" s="119"/>
    </row>
    <row r="736" spans="13:24" ht="13" thickBot="1" x14ac:dyDescent="0.4">
      <c r="M736" s="121"/>
      <c r="S736" s="175"/>
      <c r="T736" s="176"/>
      <c r="U736" s="172"/>
      <c r="V736" s="169"/>
      <c r="W736" s="119"/>
      <c r="X736" s="119"/>
    </row>
    <row r="737" spans="13:24" ht="13" thickBot="1" x14ac:dyDescent="0.4">
      <c r="M737" s="121"/>
      <c r="S737" s="175"/>
      <c r="T737" s="176"/>
      <c r="U737" s="172"/>
      <c r="V737" s="169"/>
      <c r="W737" s="119"/>
      <c r="X737" s="119"/>
    </row>
    <row r="738" spans="13:24" ht="13" thickBot="1" x14ac:dyDescent="0.4">
      <c r="M738" s="121"/>
      <c r="S738" s="175"/>
      <c r="T738" s="176"/>
      <c r="U738" s="172"/>
      <c r="V738" s="169"/>
      <c r="W738" s="119"/>
      <c r="X738" s="119"/>
    </row>
    <row r="739" spans="13:24" ht="13" thickBot="1" x14ac:dyDescent="0.4">
      <c r="M739" s="121"/>
      <c r="S739" s="175"/>
      <c r="T739" s="176"/>
      <c r="U739" s="172"/>
      <c r="V739" s="169"/>
      <c r="W739" s="119"/>
      <c r="X739" s="119"/>
    </row>
    <row r="740" spans="13:24" ht="13" thickBot="1" x14ac:dyDescent="0.4">
      <c r="M740" s="121"/>
      <c r="S740" s="175"/>
      <c r="T740" s="176"/>
      <c r="U740" s="172"/>
      <c r="V740" s="169"/>
      <c r="W740" s="119"/>
      <c r="X740" s="119"/>
    </row>
    <row r="741" spans="13:24" ht="13" thickBot="1" x14ac:dyDescent="0.4">
      <c r="M741" s="121"/>
      <c r="S741" s="175"/>
      <c r="T741" s="176"/>
      <c r="U741" s="172"/>
      <c r="V741" s="169"/>
      <c r="W741" s="119"/>
      <c r="X741" s="119"/>
    </row>
    <row r="742" spans="13:24" ht="13" thickBot="1" x14ac:dyDescent="0.4">
      <c r="M742" s="121"/>
      <c r="S742" s="175"/>
      <c r="T742" s="176"/>
      <c r="U742" s="172"/>
      <c r="V742" s="169"/>
      <c r="W742" s="119"/>
      <c r="X742" s="119"/>
    </row>
    <row r="743" spans="13:24" ht="13" thickBot="1" x14ac:dyDescent="0.4">
      <c r="M743" s="121"/>
      <c r="S743" s="175"/>
      <c r="T743" s="176"/>
      <c r="U743" s="172"/>
      <c r="V743" s="169"/>
      <c r="W743" s="119"/>
      <c r="X743" s="119"/>
    </row>
    <row r="744" spans="13:24" ht="13" thickBot="1" x14ac:dyDescent="0.4">
      <c r="M744" s="121"/>
      <c r="S744" s="175"/>
      <c r="T744" s="176"/>
      <c r="U744" s="172"/>
      <c r="V744" s="169"/>
      <c r="W744" s="119"/>
      <c r="X744" s="119"/>
    </row>
    <row r="745" spans="13:24" ht="13" thickBot="1" x14ac:dyDescent="0.4">
      <c r="M745" s="121"/>
      <c r="S745" s="175"/>
      <c r="T745" s="176"/>
      <c r="U745" s="172"/>
      <c r="V745" s="169"/>
      <c r="W745" s="119"/>
      <c r="X745" s="119"/>
    </row>
    <row r="746" spans="13:24" ht="13" thickBot="1" x14ac:dyDescent="0.4">
      <c r="M746" s="121"/>
      <c r="S746" s="175"/>
      <c r="T746" s="176"/>
      <c r="U746" s="172"/>
      <c r="V746" s="169"/>
      <c r="W746" s="119"/>
      <c r="X746" s="119"/>
    </row>
    <row r="747" spans="13:24" ht="13" thickBot="1" x14ac:dyDescent="0.4">
      <c r="M747" s="121"/>
      <c r="S747" s="175"/>
      <c r="T747" s="176"/>
      <c r="U747" s="172"/>
      <c r="V747" s="169"/>
      <c r="W747" s="119"/>
      <c r="X747" s="119"/>
    </row>
    <row r="748" spans="13:24" ht="13" thickBot="1" x14ac:dyDescent="0.4">
      <c r="M748" s="121"/>
      <c r="S748" s="175"/>
      <c r="T748" s="176"/>
      <c r="U748" s="172"/>
      <c r="V748" s="169"/>
      <c r="W748" s="119"/>
      <c r="X748" s="119"/>
    </row>
    <row r="749" spans="13:24" ht="13" thickBot="1" x14ac:dyDescent="0.4">
      <c r="M749" s="121"/>
      <c r="S749" s="175"/>
      <c r="T749" s="176"/>
      <c r="U749" s="172"/>
      <c r="V749" s="169"/>
      <c r="W749" s="119"/>
      <c r="X749" s="119"/>
    </row>
    <row r="750" spans="13:24" ht="13" thickBot="1" x14ac:dyDescent="0.4">
      <c r="M750" s="121"/>
      <c r="S750" s="175"/>
      <c r="T750" s="176"/>
      <c r="U750" s="172"/>
      <c r="V750" s="169"/>
      <c r="W750" s="119"/>
      <c r="X750" s="119"/>
    </row>
    <row r="751" spans="13:24" ht="13" thickBot="1" x14ac:dyDescent="0.4">
      <c r="M751" s="121"/>
      <c r="S751" s="175"/>
      <c r="T751" s="176"/>
      <c r="U751" s="172"/>
      <c r="V751" s="169"/>
      <c r="W751" s="119"/>
      <c r="X751" s="119"/>
    </row>
    <row r="752" spans="13:24" ht="13" thickBot="1" x14ac:dyDescent="0.4">
      <c r="M752" s="121"/>
      <c r="S752" s="175"/>
      <c r="T752" s="176"/>
      <c r="U752" s="172"/>
      <c r="V752" s="169"/>
      <c r="W752" s="119"/>
      <c r="X752" s="119"/>
    </row>
    <row r="753" spans="13:24" ht="13" thickBot="1" x14ac:dyDescent="0.4">
      <c r="M753" s="121"/>
      <c r="S753" s="175"/>
      <c r="T753" s="176"/>
      <c r="U753" s="172"/>
      <c r="V753" s="169"/>
      <c r="W753" s="119"/>
      <c r="X753" s="119"/>
    </row>
    <row r="754" spans="13:24" ht="13" thickBot="1" x14ac:dyDescent="0.4">
      <c r="M754" s="121"/>
      <c r="S754" s="175"/>
      <c r="T754" s="176"/>
      <c r="U754" s="172"/>
      <c r="V754" s="169"/>
      <c r="W754" s="119"/>
      <c r="X754" s="119"/>
    </row>
    <row r="755" spans="13:24" ht="13" thickBot="1" x14ac:dyDescent="0.4">
      <c r="M755" s="121"/>
      <c r="S755" s="175"/>
      <c r="T755" s="176"/>
      <c r="U755" s="172"/>
      <c r="V755" s="169"/>
      <c r="W755" s="119"/>
      <c r="X755" s="119"/>
    </row>
    <row r="756" spans="13:24" ht="13" thickBot="1" x14ac:dyDescent="0.4">
      <c r="M756" s="121"/>
      <c r="S756" s="175"/>
      <c r="T756" s="176"/>
      <c r="U756" s="172"/>
      <c r="V756" s="169"/>
      <c r="W756" s="119"/>
      <c r="X756" s="119"/>
    </row>
    <row r="757" spans="13:24" ht="13" thickBot="1" x14ac:dyDescent="0.4">
      <c r="M757" s="121"/>
      <c r="S757" s="175"/>
      <c r="T757" s="176"/>
      <c r="U757" s="172"/>
      <c r="V757" s="169"/>
      <c r="W757" s="119"/>
      <c r="X757" s="119"/>
    </row>
    <row r="758" spans="13:24" ht="13" thickBot="1" x14ac:dyDescent="0.4">
      <c r="M758" s="121"/>
      <c r="S758" s="175"/>
      <c r="T758" s="176"/>
      <c r="U758" s="172"/>
      <c r="V758" s="169"/>
      <c r="W758" s="119"/>
      <c r="X758" s="119"/>
    </row>
    <row r="759" spans="13:24" ht="13" thickBot="1" x14ac:dyDescent="0.4">
      <c r="M759" s="121"/>
      <c r="S759" s="175"/>
      <c r="T759" s="176"/>
      <c r="U759" s="172"/>
      <c r="V759" s="169"/>
      <c r="W759" s="119"/>
      <c r="X759" s="119"/>
    </row>
    <row r="760" spans="13:24" ht="13" thickBot="1" x14ac:dyDescent="0.4">
      <c r="M760" s="121"/>
      <c r="S760" s="175"/>
      <c r="T760" s="176"/>
      <c r="U760" s="172"/>
      <c r="V760" s="169"/>
      <c r="W760" s="119"/>
      <c r="X760" s="119"/>
    </row>
    <row r="761" spans="13:24" ht="13" thickBot="1" x14ac:dyDescent="0.4">
      <c r="M761" s="121"/>
      <c r="S761" s="175"/>
      <c r="T761" s="176"/>
      <c r="U761" s="172"/>
      <c r="V761" s="169"/>
      <c r="W761" s="119"/>
      <c r="X761" s="119"/>
    </row>
    <row r="762" spans="13:24" ht="13" thickBot="1" x14ac:dyDescent="0.4">
      <c r="M762" s="121"/>
      <c r="S762" s="175"/>
      <c r="T762" s="176"/>
      <c r="U762" s="172"/>
      <c r="V762" s="169"/>
      <c r="W762" s="119"/>
      <c r="X762" s="119"/>
    </row>
    <row r="763" spans="13:24" ht="13" thickBot="1" x14ac:dyDescent="0.4">
      <c r="M763" s="121"/>
      <c r="S763" s="175"/>
      <c r="T763" s="176"/>
      <c r="U763" s="172"/>
      <c r="V763" s="169"/>
      <c r="W763" s="119"/>
      <c r="X763" s="119"/>
    </row>
    <row r="764" spans="13:24" ht="13" thickBot="1" x14ac:dyDescent="0.4">
      <c r="M764" s="121"/>
      <c r="S764" s="175"/>
      <c r="T764" s="176"/>
      <c r="U764" s="172"/>
      <c r="V764" s="169"/>
      <c r="W764" s="119"/>
      <c r="X764" s="119"/>
    </row>
    <row r="765" spans="13:24" ht="13" thickBot="1" x14ac:dyDescent="0.4">
      <c r="M765" s="121"/>
      <c r="S765" s="175"/>
      <c r="T765" s="176"/>
      <c r="U765" s="172"/>
      <c r="V765" s="169"/>
      <c r="W765" s="119"/>
      <c r="X765" s="119"/>
    </row>
    <row r="766" spans="13:24" ht="13" thickBot="1" x14ac:dyDescent="0.4">
      <c r="M766" s="121"/>
      <c r="S766" s="175"/>
      <c r="T766" s="176"/>
      <c r="U766" s="172"/>
      <c r="V766" s="169"/>
      <c r="W766" s="119"/>
      <c r="X766" s="119"/>
    </row>
    <row r="767" spans="13:24" ht="13" thickBot="1" x14ac:dyDescent="0.4">
      <c r="M767" s="121"/>
      <c r="S767" s="175"/>
      <c r="T767" s="176"/>
      <c r="U767" s="172"/>
      <c r="V767" s="169"/>
      <c r="W767" s="119"/>
      <c r="X767" s="119"/>
    </row>
    <row r="768" spans="13:24" ht="13" thickBot="1" x14ac:dyDescent="0.4">
      <c r="M768" s="121"/>
      <c r="S768" s="175"/>
      <c r="T768" s="176"/>
      <c r="U768" s="172"/>
      <c r="V768" s="169"/>
      <c r="W768" s="119"/>
      <c r="X768" s="119"/>
    </row>
    <row r="769" spans="13:24" ht="13" thickBot="1" x14ac:dyDescent="0.4">
      <c r="M769" s="121"/>
      <c r="S769" s="175"/>
      <c r="T769" s="176"/>
      <c r="U769" s="172"/>
      <c r="V769" s="169"/>
      <c r="W769" s="119"/>
      <c r="X769" s="119"/>
    </row>
    <row r="770" spans="13:24" ht="13" thickBot="1" x14ac:dyDescent="0.4">
      <c r="M770" s="121"/>
      <c r="S770" s="175"/>
      <c r="T770" s="176"/>
      <c r="U770" s="172"/>
      <c r="V770" s="169"/>
      <c r="W770" s="119"/>
      <c r="X770" s="119"/>
    </row>
    <row r="771" spans="13:24" ht="13" thickBot="1" x14ac:dyDescent="0.4">
      <c r="M771" s="121"/>
      <c r="S771" s="175"/>
      <c r="T771" s="176"/>
      <c r="U771" s="172"/>
      <c r="V771" s="169"/>
      <c r="W771" s="119"/>
      <c r="X771" s="119"/>
    </row>
    <row r="772" spans="13:24" ht="13" thickBot="1" x14ac:dyDescent="0.4">
      <c r="M772" s="121"/>
      <c r="S772" s="175"/>
      <c r="T772" s="176"/>
      <c r="U772" s="172"/>
      <c r="V772" s="169"/>
      <c r="W772" s="119"/>
      <c r="X772" s="119"/>
    </row>
    <row r="773" spans="13:24" ht="13" thickBot="1" x14ac:dyDescent="0.4">
      <c r="M773" s="121"/>
      <c r="S773" s="175"/>
      <c r="T773" s="176"/>
      <c r="U773" s="172"/>
      <c r="V773" s="169"/>
      <c r="W773" s="119"/>
      <c r="X773" s="119"/>
    </row>
    <row r="774" spans="13:24" ht="13" thickBot="1" x14ac:dyDescent="0.4">
      <c r="M774" s="121"/>
      <c r="S774" s="175"/>
      <c r="T774" s="176"/>
      <c r="U774" s="172"/>
      <c r="V774" s="169"/>
      <c r="W774" s="119"/>
      <c r="X774" s="119"/>
    </row>
    <row r="775" spans="13:24" ht="13" thickBot="1" x14ac:dyDescent="0.4">
      <c r="M775" s="121"/>
      <c r="S775" s="175"/>
      <c r="T775" s="176"/>
      <c r="U775" s="172"/>
      <c r="V775" s="169"/>
      <c r="W775" s="119"/>
      <c r="X775" s="119"/>
    </row>
    <row r="776" spans="13:24" ht="13" thickBot="1" x14ac:dyDescent="0.4">
      <c r="M776" s="121"/>
      <c r="S776" s="175"/>
      <c r="T776" s="176"/>
      <c r="U776" s="172"/>
      <c r="V776" s="169"/>
      <c r="W776" s="119"/>
      <c r="X776" s="119"/>
    </row>
    <row r="777" spans="13:24" ht="13" thickBot="1" x14ac:dyDescent="0.4">
      <c r="M777" s="121"/>
      <c r="S777" s="175"/>
      <c r="T777" s="176"/>
      <c r="U777" s="172"/>
      <c r="V777" s="169"/>
      <c r="W777" s="119"/>
      <c r="X777" s="119"/>
    </row>
    <row r="778" spans="13:24" ht="13" thickBot="1" x14ac:dyDescent="0.4">
      <c r="M778" s="121"/>
      <c r="S778" s="175"/>
      <c r="T778" s="176"/>
      <c r="U778" s="172"/>
      <c r="V778" s="169"/>
      <c r="W778" s="119"/>
      <c r="X778" s="119"/>
    </row>
    <row r="779" spans="13:24" ht="13" thickBot="1" x14ac:dyDescent="0.4">
      <c r="M779" s="121"/>
      <c r="S779" s="175"/>
      <c r="T779" s="176"/>
      <c r="U779" s="172"/>
      <c r="V779" s="169"/>
      <c r="W779" s="119"/>
      <c r="X779" s="119"/>
    </row>
    <row r="780" spans="13:24" ht="13" thickBot="1" x14ac:dyDescent="0.4">
      <c r="M780" s="121"/>
      <c r="S780" s="175"/>
      <c r="T780" s="176"/>
      <c r="U780" s="172"/>
      <c r="V780" s="169"/>
      <c r="W780" s="119"/>
      <c r="X780" s="119"/>
    </row>
    <row r="781" spans="13:24" ht="13" thickBot="1" x14ac:dyDescent="0.4">
      <c r="M781" s="121"/>
      <c r="S781" s="175"/>
      <c r="T781" s="176"/>
      <c r="U781" s="172"/>
      <c r="V781" s="169"/>
      <c r="W781" s="119"/>
      <c r="X781" s="119"/>
    </row>
    <row r="782" spans="13:24" ht="13" thickBot="1" x14ac:dyDescent="0.4">
      <c r="M782" s="121"/>
      <c r="S782" s="175"/>
      <c r="T782" s="176"/>
      <c r="U782" s="172"/>
      <c r="V782" s="169"/>
      <c r="W782" s="119"/>
      <c r="X782" s="119"/>
    </row>
    <row r="783" spans="13:24" ht="13" thickBot="1" x14ac:dyDescent="0.4">
      <c r="M783" s="121"/>
      <c r="S783" s="175"/>
      <c r="T783" s="176"/>
      <c r="U783" s="172"/>
      <c r="V783" s="169"/>
      <c r="W783" s="119"/>
      <c r="X783" s="119"/>
    </row>
    <row r="784" spans="13:24" ht="13" thickBot="1" x14ac:dyDescent="0.4">
      <c r="M784" s="121"/>
      <c r="S784" s="175"/>
      <c r="T784" s="176"/>
      <c r="U784" s="172"/>
      <c r="V784" s="169"/>
      <c r="W784" s="119"/>
      <c r="X784" s="119"/>
    </row>
    <row r="785" spans="13:24" ht="13" thickBot="1" x14ac:dyDescent="0.4">
      <c r="M785" s="121"/>
      <c r="S785" s="175"/>
      <c r="T785" s="176"/>
      <c r="U785" s="172"/>
      <c r="V785" s="169"/>
      <c r="W785" s="119"/>
      <c r="X785" s="119"/>
    </row>
    <row r="786" spans="13:24" ht="13" thickBot="1" x14ac:dyDescent="0.4">
      <c r="M786" s="121"/>
      <c r="S786" s="175"/>
      <c r="T786" s="176"/>
      <c r="U786" s="172"/>
      <c r="V786" s="169"/>
      <c r="W786" s="119"/>
      <c r="X786" s="119"/>
    </row>
    <row r="787" spans="13:24" ht="13" thickBot="1" x14ac:dyDescent="0.4">
      <c r="M787" s="121"/>
      <c r="S787" s="175"/>
      <c r="T787" s="176"/>
      <c r="U787" s="172"/>
      <c r="V787" s="169"/>
      <c r="W787" s="119"/>
      <c r="X787" s="119"/>
    </row>
    <row r="788" spans="13:24" ht="13" thickBot="1" x14ac:dyDescent="0.4">
      <c r="M788" s="121"/>
      <c r="S788" s="175"/>
      <c r="T788" s="176"/>
      <c r="U788" s="172"/>
      <c r="V788" s="169"/>
      <c r="W788" s="119"/>
      <c r="X788" s="119"/>
    </row>
    <row r="789" spans="13:24" ht="13" thickBot="1" x14ac:dyDescent="0.4">
      <c r="M789" s="121"/>
      <c r="S789" s="175"/>
      <c r="T789" s="176"/>
      <c r="U789" s="172"/>
      <c r="V789" s="169"/>
      <c r="W789" s="119"/>
      <c r="X789" s="119"/>
    </row>
    <row r="790" spans="13:24" ht="13" thickBot="1" x14ac:dyDescent="0.4">
      <c r="M790" s="121"/>
      <c r="S790" s="175"/>
      <c r="T790" s="176"/>
      <c r="U790" s="172"/>
      <c r="V790" s="169"/>
      <c r="W790" s="119"/>
      <c r="X790" s="119"/>
    </row>
    <row r="791" spans="13:24" ht="13" thickBot="1" x14ac:dyDescent="0.4">
      <c r="M791" s="121"/>
      <c r="S791" s="175"/>
      <c r="T791" s="176"/>
      <c r="U791" s="172"/>
      <c r="V791" s="169"/>
      <c r="W791" s="119"/>
      <c r="X791" s="119"/>
    </row>
    <row r="792" spans="13:24" ht="13" thickBot="1" x14ac:dyDescent="0.4">
      <c r="M792" s="121"/>
      <c r="S792" s="175"/>
      <c r="T792" s="176"/>
      <c r="U792" s="172"/>
      <c r="V792" s="169"/>
      <c r="W792" s="119"/>
      <c r="X792" s="119"/>
    </row>
    <row r="793" spans="13:24" ht="13" thickBot="1" x14ac:dyDescent="0.4">
      <c r="M793" s="121"/>
      <c r="S793" s="175"/>
      <c r="T793" s="176"/>
      <c r="U793" s="172"/>
      <c r="V793" s="169"/>
      <c r="W793" s="119"/>
      <c r="X793" s="119"/>
    </row>
    <row r="794" spans="13:24" ht="13" thickBot="1" x14ac:dyDescent="0.4">
      <c r="M794" s="121"/>
      <c r="S794" s="175"/>
      <c r="T794" s="176"/>
      <c r="U794" s="172"/>
      <c r="V794" s="169"/>
      <c r="W794" s="119"/>
      <c r="X794" s="119"/>
    </row>
    <row r="795" spans="13:24" ht="13" thickBot="1" x14ac:dyDescent="0.4">
      <c r="M795" s="121"/>
      <c r="S795" s="175"/>
      <c r="T795" s="176"/>
      <c r="U795" s="172"/>
      <c r="V795" s="169"/>
      <c r="W795" s="119"/>
      <c r="X795" s="119"/>
    </row>
    <row r="796" spans="13:24" ht="13" thickBot="1" x14ac:dyDescent="0.4">
      <c r="M796" s="121"/>
      <c r="S796" s="175"/>
      <c r="T796" s="176"/>
      <c r="U796" s="172"/>
      <c r="V796" s="169"/>
      <c r="W796" s="119"/>
      <c r="X796" s="119"/>
    </row>
    <row r="797" spans="13:24" ht="13" thickBot="1" x14ac:dyDescent="0.4">
      <c r="M797" s="121"/>
      <c r="S797" s="175"/>
      <c r="T797" s="176"/>
      <c r="U797" s="172"/>
      <c r="V797" s="169"/>
      <c r="W797" s="119"/>
      <c r="X797" s="119"/>
    </row>
    <row r="798" spans="13:24" ht="13" thickBot="1" x14ac:dyDescent="0.4">
      <c r="M798" s="121"/>
      <c r="S798" s="175"/>
      <c r="T798" s="176"/>
      <c r="U798" s="172"/>
      <c r="V798" s="169"/>
      <c r="W798" s="119"/>
      <c r="X798" s="119"/>
    </row>
    <row r="799" spans="13:24" ht="13" thickBot="1" x14ac:dyDescent="0.4">
      <c r="M799" s="121"/>
      <c r="S799" s="175"/>
      <c r="T799" s="176"/>
      <c r="U799" s="172"/>
      <c r="V799" s="169"/>
      <c r="W799" s="119"/>
      <c r="X799" s="119"/>
    </row>
    <row r="800" spans="13:24" ht="13" thickBot="1" x14ac:dyDescent="0.4">
      <c r="M800" s="121"/>
      <c r="S800" s="175"/>
      <c r="T800" s="176"/>
      <c r="U800" s="172"/>
      <c r="V800" s="169"/>
      <c r="W800" s="119"/>
      <c r="X800" s="119"/>
    </row>
    <row r="801" spans="13:24" ht="13" thickBot="1" x14ac:dyDescent="0.4">
      <c r="M801" s="121"/>
      <c r="S801" s="175"/>
      <c r="T801" s="176"/>
      <c r="U801" s="172"/>
      <c r="V801" s="169"/>
      <c r="W801" s="119"/>
      <c r="X801" s="119"/>
    </row>
    <row r="802" spans="13:24" ht="13" thickBot="1" x14ac:dyDescent="0.4">
      <c r="M802" s="121"/>
      <c r="S802" s="175"/>
      <c r="T802" s="176"/>
      <c r="U802" s="172"/>
      <c r="V802" s="169"/>
      <c r="W802" s="119"/>
      <c r="X802" s="119"/>
    </row>
    <row r="803" spans="13:24" ht="13" thickBot="1" x14ac:dyDescent="0.4">
      <c r="M803" s="121"/>
      <c r="S803" s="175"/>
      <c r="T803" s="176"/>
      <c r="U803" s="172"/>
      <c r="V803" s="169"/>
      <c r="W803" s="119"/>
      <c r="X803" s="119"/>
    </row>
    <row r="804" spans="13:24" ht="13" thickBot="1" x14ac:dyDescent="0.4">
      <c r="M804" s="121"/>
      <c r="S804" s="175"/>
      <c r="T804" s="176"/>
      <c r="U804" s="172"/>
      <c r="V804" s="169"/>
      <c r="W804" s="119"/>
      <c r="X804" s="119"/>
    </row>
    <row r="805" spans="13:24" ht="13" thickBot="1" x14ac:dyDescent="0.4">
      <c r="M805" s="121"/>
      <c r="S805" s="175"/>
      <c r="T805" s="176"/>
      <c r="U805" s="172"/>
      <c r="V805" s="169"/>
      <c r="W805" s="119"/>
      <c r="X805" s="119"/>
    </row>
    <row r="806" spans="13:24" ht="13" thickBot="1" x14ac:dyDescent="0.4">
      <c r="M806" s="121"/>
      <c r="S806" s="175"/>
      <c r="T806" s="176"/>
      <c r="U806" s="172"/>
      <c r="V806" s="169"/>
      <c r="W806" s="119"/>
      <c r="X806" s="119"/>
    </row>
    <row r="807" spans="13:24" ht="13" thickBot="1" x14ac:dyDescent="0.4">
      <c r="M807" s="121"/>
      <c r="S807" s="175"/>
      <c r="T807" s="176"/>
      <c r="U807" s="172"/>
      <c r="V807" s="169"/>
      <c r="W807" s="119"/>
      <c r="X807" s="119"/>
    </row>
    <row r="808" spans="13:24" ht="13" thickBot="1" x14ac:dyDescent="0.4">
      <c r="M808" s="121"/>
      <c r="S808" s="175"/>
      <c r="T808" s="176"/>
      <c r="U808" s="172"/>
      <c r="V808" s="169"/>
      <c r="W808" s="119"/>
      <c r="X808" s="119"/>
    </row>
    <row r="809" spans="13:24" ht="13" thickBot="1" x14ac:dyDescent="0.4">
      <c r="M809" s="121"/>
      <c r="S809" s="175"/>
      <c r="T809" s="176"/>
      <c r="U809" s="172"/>
      <c r="V809" s="169"/>
      <c r="W809" s="119"/>
      <c r="X809" s="119"/>
    </row>
    <row r="810" spans="13:24" ht="13" thickBot="1" x14ac:dyDescent="0.4">
      <c r="M810" s="121"/>
      <c r="S810" s="175"/>
      <c r="T810" s="176"/>
      <c r="U810" s="172"/>
      <c r="V810" s="169"/>
      <c r="W810" s="119"/>
      <c r="X810" s="119"/>
    </row>
    <row r="811" spans="13:24" ht="13" thickBot="1" x14ac:dyDescent="0.4">
      <c r="M811" s="121"/>
      <c r="S811" s="175"/>
      <c r="T811" s="176"/>
      <c r="U811" s="172"/>
      <c r="V811" s="169"/>
      <c r="W811" s="119"/>
      <c r="X811" s="119"/>
    </row>
    <row r="812" spans="13:24" ht="13" thickBot="1" x14ac:dyDescent="0.4">
      <c r="M812" s="121"/>
      <c r="S812" s="175"/>
      <c r="T812" s="176"/>
      <c r="U812" s="172"/>
      <c r="V812" s="169"/>
      <c r="W812" s="119"/>
      <c r="X812" s="119"/>
    </row>
    <row r="813" spans="13:24" ht="13" thickBot="1" x14ac:dyDescent="0.4">
      <c r="M813" s="121"/>
      <c r="S813" s="175"/>
      <c r="T813" s="176"/>
      <c r="U813" s="172"/>
      <c r="V813" s="169"/>
      <c r="W813" s="119"/>
      <c r="X813" s="119"/>
    </row>
    <row r="814" spans="13:24" ht="13" thickBot="1" x14ac:dyDescent="0.4">
      <c r="M814" s="121"/>
      <c r="S814" s="175"/>
      <c r="T814" s="176"/>
      <c r="U814" s="172"/>
      <c r="V814" s="169"/>
      <c r="W814" s="119"/>
      <c r="X814" s="119"/>
    </row>
    <row r="815" spans="13:24" ht="13" thickBot="1" x14ac:dyDescent="0.4">
      <c r="M815" s="121"/>
      <c r="S815" s="175"/>
      <c r="T815" s="176"/>
      <c r="U815" s="172"/>
      <c r="V815" s="169"/>
      <c r="W815" s="119"/>
      <c r="X815" s="119"/>
    </row>
    <row r="816" spans="13:24" ht="13" thickBot="1" x14ac:dyDescent="0.4">
      <c r="M816" s="121"/>
      <c r="S816" s="175"/>
      <c r="T816" s="176"/>
      <c r="U816" s="172"/>
      <c r="V816" s="169"/>
      <c r="W816" s="119"/>
      <c r="X816" s="119"/>
    </row>
    <row r="817" spans="13:24" ht="13" thickBot="1" x14ac:dyDescent="0.4">
      <c r="M817" s="121"/>
      <c r="S817" s="175"/>
      <c r="T817" s="176"/>
      <c r="U817" s="172"/>
      <c r="V817" s="169"/>
      <c r="W817" s="119"/>
      <c r="X817" s="119"/>
    </row>
    <row r="818" spans="13:24" ht="13" thickBot="1" x14ac:dyDescent="0.4">
      <c r="M818" s="121"/>
      <c r="S818" s="175"/>
      <c r="T818" s="176"/>
      <c r="U818" s="172"/>
      <c r="V818" s="169"/>
      <c r="W818" s="119"/>
      <c r="X818" s="119"/>
    </row>
    <row r="819" spans="13:24" ht="13" thickBot="1" x14ac:dyDescent="0.4">
      <c r="M819" s="121"/>
      <c r="S819" s="175"/>
      <c r="T819" s="176"/>
      <c r="U819" s="172"/>
      <c r="V819" s="169"/>
      <c r="W819" s="119"/>
      <c r="X819" s="119"/>
    </row>
    <row r="820" spans="13:24" ht="13" thickBot="1" x14ac:dyDescent="0.4">
      <c r="M820" s="121"/>
      <c r="S820" s="175"/>
      <c r="T820" s="176"/>
      <c r="U820" s="172"/>
      <c r="V820" s="169"/>
      <c r="W820" s="119"/>
      <c r="X820" s="119"/>
    </row>
    <row r="821" spans="13:24" ht="13" thickBot="1" x14ac:dyDescent="0.4">
      <c r="M821" s="121"/>
      <c r="S821" s="175"/>
      <c r="T821" s="176"/>
      <c r="U821" s="172"/>
      <c r="V821" s="169"/>
      <c r="W821" s="119"/>
      <c r="X821" s="119"/>
    </row>
    <row r="822" spans="13:24" ht="13" thickBot="1" x14ac:dyDescent="0.4">
      <c r="M822" s="121"/>
      <c r="S822" s="175"/>
      <c r="T822" s="176"/>
      <c r="U822" s="172"/>
      <c r="V822" s="169"/>
      <c r="W822" s="119"/>
      <c r="X822" s="119"/>
    </row>
    <row r="823" spans="13:24" ht="13" thickBot="1" x14ac:dyDescent="0.4">
      <c r="M823" s="121"/>
      <c r="S823" s="175"/>
      <c r="T823" s="176"/>
      <c r="U823" s="172"/>
      <c r="V823" s="169"/>
      <c r="W823" s="119"/>
      <c r="X823" s="119"/>
    </row>
    <row r="824" spans="13:24" ht="13" thickBot="1" x14ac:dyDescent="0.4">
      <c r="M824" s="121"/>
      <c r="S824" s="175"/>
      <c r="T824" s="176"/>
      <c r="U824" s="172"/>
      <c r="V824" s="169"/>
      <c r="W824" s="119"/>
      <c r="X824" s="119"/>
    </row>
    <row r="825" spans="13:24" ht="13" thickBot="1" x14ac:dyDescent="0.4">
      <c r="M825" s="121"/>
      <c r="S825" s="175"/>
      <c r="T825" s="176"/>
      <c r="U825" s="172"/>
      <c r="V825" s="169"/>
      <c r="W825" s="119"/>
      <c r="X825" s="119"/>
    </row>
    <row r="826" spans="13:24" ht="13" thickBot="1" x14ac:dyDescent="0.4">
      <c r="M826" s="121"/>
      <c r="S826" s="175"/>
      <c r="T826" s="176"/>
      <c r="U826" s="172"/>
      <c r="V826" s="169"/>
      <c r="W826" s="119"/>
      <c r="X826" s="119"/>
    </row>
    <row r="827" spans="13:24" ht="13" thickBot="1" x14ac:dyDescent="0.4">
      <c r="M827" s="121"/>
      <c r="S827" s="175"/>
      <c r="T827" s="176"/>
      <c r="U827" s="172"/>
      <c r="V827" s="169"/>
      <c r="W827" s="119"/>
      <c r="X827" s="119"/>
    </row>
    <row r="828" spans="13:24" ht="13" thickBot="1" x14ac:dyDescent="0.4">
      <c r="M828" s="121"/>
      <c r="S828" s="175"/>
      <c r="T828" s="176"/>
      <c r="U828" s="172"/>
      <c r="V828" s="169"/>
      <c r="W828" s="119"/>
      <c r="X828" s="119"/>
    </row>
    <row r="829" spans="13:24" ht="13" thickBot="1" x14ac:dyDescent="0.4">
      <c r="M829" s="121"/>
      <c r="S829" s="175"/>
      <c r="T829" s="176"/>
      <c r="U829" s="172"/>
      <c r="V829" s="169"/>
      <c r="W829" s="119"/>
      <c r="X829" s="119"/>
    </row>
    <row r="830" spans="13:24" ht="13" thickBot="1" x14ac:dyDescent="0.4">
      <c r="M830" s="121"/>
      <c r="S830" s="175"/>
      <c r="T830" s="176"/>
      <c r="U830" s="172"/>
      <c r="V830" s="169"/>
      <c r="W830" s="119"/>
      <c r="X830" s="119"/>
    </row>
    <row r="831" spans="13:24" ht="13" thickBot="1" x14ac:dyDescent="0.4">
      <c r="M831" s="121"/>
      <c r="S831" s="175"/>
      <c r="T831" s="176"/>
      <c r="U831" s="172"/>
      <c r="V831" s="169"/>
      <c r="W831" s="119"/>
      <c r="X831" s="119"/>
    </row>
    <row r="832" spans="13:24" ht="13" thickBot="1" x14ac:dyDescent="0.4">
      <c r="M832" s="121"/>
      <c r="S832" s="175"/>
      <c r="T832" s="176"/>
      <c r="U832" s="172"/>
      <c r="V832" s="169"/>
      <c r="W832" s="119"/>
      <c r="X832" s="119"/>
    </row>
    <row r="833" spans="13:24" ht="13" thickBot="1" x14ac:dyDescent="0.4">
      <c r="M833" s="121"/>
      <c r="S833" s="175"/>
      <c r="T833" s="176"/>
      <c r="U833" s="172"/>
      <c r="V833" s="169"/>
      <c r="W833" s="119"/>
      <c r="X833" s="119"/>
    </row>
    <row r="834" spans="13:24" ht="13" thickBot="1" x14ac:dyDescent="0.4">
      <c r="M834" s="121"/>
      <c r="S834" s="175"/>
      <c r="T834" s="176"/>
      <c r="U834" s="172"/>
      <c r="V834" s="169"/>
      <c r="W834" s="119"/>
      <c r="X834" s="119"/>
    </row>
    <row r="835" spans="13:24" ht="13" thickBot="1" x14ac:dyDescent="0.4">
      <c r="M835" s="121"/>
      <c r="S835" s="175"/>
      <c r="T835" s="176"/>
      <c r="U835" s="172"/>
      <c r="V835" s="169"/>
      <c r="W835" s="119"/>
      <c r="X835" s="119"/>
    </row>
    <row r="836" spans="13:24" ht="13" thickBot="1" x14ac:dyDescent="0.4">
      <c r="M836" s="121"/>
      <c r="S836" s="175"/>
      <c r="T836" s="176"/>
      <c r="U836" s="172"/>
      <c r="V836" s="169"/>
      <c r="W836" s="119"/>
      <c r="X836" s="119"/>
    </row>
    <row r="837" spans="13:24" ht="13" thickBot="1" x14ac:dyDescent="0.4">
      <c r="M837" s="121"/>
      <c r="S837" s="175"/>
      <c r="T837" s="176"/>
      <c r="U837" s="172"/>
      <c r="V837" s="169"/>
      <c r="W837" s="119"/>
      <c r="X837" s="119"/>
    </row>
    <row r="838" spans="13:24" ht="13" thickBot="1" x14ac:dyDescent="0.4">
      <c r="M838" s="121"/>
      <c r="S838" s="175"/>
      <c r="T838" s="176"/>
      <c r="U838" s="172"/>
      <c r="V838" s="169"/>
      <c r="W838" s="119"/>
      <c r="X838" s="119"/>
    </row>
    <row r="839" spans="13:24" ht="13" thickBot="1" x14ac:dyDescent="0.4">
      <c r="M839" s="121"/>
      <c r="S839" s="175"/>
      <c r="T839" s="176"/>
      <c r="U839" s="172"/>
      <c r="V839" s="169"/>
      <c r="W839" s="119"/>
      <c r="X839" s="119"/>
    </row>
    <row r="840" spans="13:24" ht="13" thickBot="1" x14ac:dyDescent="0.4">
      <c r="M840" s="121"/>
      <c r="S840" s="175"/>
      <c r="T840" s="176"/>
      <c r="U840" s="172"/>
      <c r="V840" s="169"/>
      <c r="W840" s="119"/>
      <c r="X840" s="119"/>
    </row>
    <row r="841" spans="13:24" ht="13" thickBot="1" x14ac:dyDescent="0.4">
      <c r="M841" s="121"/>
      <c r="S841" s="175"/>
      <c r="T841" s="176"/>
      <c r="U841" s="172"/>
      <c r="V841" s="169"/>
      <c r="W841" s="119"/>
      <c r="X841" s="119"/>
    </row>
    <row r="842" spans="13:24" ht="13" thickBot="1" x14ac:dyDescent="0.4">
      <c r="M842" s="121"/>
      <c r="S842" s="175"/>
      <c r="T842" s="176"/>
      <c r="U842" s="172"/>
      <c r="V842" s="169"/>
      <c r="W842" s="119"/>
      <c r="X842" s="119"/>
    </row>
    <row r="843" spans="13:24" ht="13" thickBot="1" x14ac:dyDescent="0.4">
      <c r="M843" s="121"/>
      <c r="S843" s="175"/>
      <c r="T843" s="176"/>
      <c r="U843" s="172"/>
      <c r="V843" s="169"/>
      <c r="W843" s="119"/>
      <c r="X843" s="119"/>
    </row>
    <row r="844" spans="13:24" ht="13" thickBot="1" x14ac:dyDescent="0.4">
      <c r="M844" s="121"/>
      <c r="S844" s="175"/>
      <c r="T844" s="176"/>
      <c r="U844" s="172"/>
      <c r="V844" s="169"/>
      <c r="W844" s="119"/>
      <c r="X844" s="119"/>
    </row>
    <row r="845" spans="13:24" ht="13" thickBot="1" x14ac:dyDescent="0.4">
      <c r="M845" s="121"/>
      <c r="S845" s="175"/>
      <c r="T845" s="176"/>
      <c r="U845" s="172"/>
      <c r="V845" s="169"/>
      <c r="W845" s="119"/>
      <c r="X845" s="119"/>
    </row>
    <row r="846" spans="13:24" ht="13" thickBot="1" x14ac:dyDescent="0.4">
      <c r="M846" s="121"/>
      <c r="S846" s="175"/>
      <c r="T846" s="176"/>
      <c r="U846" s="172"/>
      <c r="V846" s="169"/>
      <c r="W846" s="119"/>
      <c r="X846" s="119"/>
    </row>
    <row r="847" spans="13:24" ht="13" thickBot="1" x14ac:dyDescent="0.4">
      <c r="M847" s="121"/>
      <c r="S847" s="175"/>
      <c r="T847" s="176"/>
      <c r="U847" s="172"/>
      <c r="V847" s="169"/>
      <c r="W847" s="119"/>
      <c r="X847" s="119"/>
    </row>
    <row r="848" spans="13:24" ht="13" thickBot="1" x14ac:dyDescent="0.4">
      <c r="M848" s="121"/>
      <c r="S848" s="175"/>
      <c r="T848" s="176"/>
      <c r="U848" s="172"/>
      <c r="V848" s="169"/>
      <c r="W848" s="119"/>
      <c r="X848" s="119"/>
    </row>
    <row r="849" spans="13:24" ht="13" thickBot="1" x14ac:dyDescent="0.4">
      <c r="M849" s="121"/>
      <c r="S849" s="175"/>
      <c r="T849" s="176"/>
      <c r="U849" s="172"/>
      <c r="V849" s="169"/>
      <c r="W849" s="119"/>
      <c r="X849" s="119"/>
    </row>
    <row r="850" spans="13:24" ht="13" thickBot="1" x14ac:dyDescent="0.4">
      <c r="M850" s="121"/>
      <c r="S850" s="175"/>
      <c r="T850" s="176"/>
      <c r="U850" s="172"/>
      <c r="V850" s="169"/>
      <c r="W850" s="119"/>
      <c r="X850" s="119"/>
    </row>
    <row r="851" spans="13:24" ht="13" thickBot="1" x14ac:dyDescent="0.4">
      <c r="M851" s="121"/>
      <c r="S851" s="175"/>
      <c r="T851" s="176"/>
      <c r="U851" s="172"/>
      <c r="V851" s="169"/>
      <c r="W851" s="119"/>
      <c r="X851" s="119"/>
    </row>
    <row r="852" spans="13:24" ht="13" thickBot="1" x14ac:dyDescent="0.4">
      <c r="M852" s="121"/>
      <c r="S852" s="175"/>
      <c r="T852" s="176"/>
      <c r="U852" s="172"/>
      <c r="V852" s="169"/>
      <c r="W852" s="119"/>
      <c r="X852" s="119"/>
    </row>
    <row r="853" spans="13:24" ht="13" thickBot="1" x14ac:dyDescent="0.4">
      <c r="M853" s="121"/>
      <c r="S853" s="175"/>
      <c r="T853" s="176"/>
      <c r="U853" s="172"/>
      <c r="V853" s="169"/>
      <c r="W853" s="119"/>
      <c r="X853" s="119"/>
    </row>
    <row r="854" spans="13:24" ht="13" thickBot="1" x14ac:dyDescent="0.4">
      <c r="M854" s="121"/>
      <c r="S854" s="175"/>
      <c r="T854" s="176"/>
      <c r="U854" s="172"/>
      <c r="V854" s="169"/>
      <c r="W854" s="119"/>
      <c r="X854" s="119"/>
    </row>
    <row r="855" spans="13:24" ht="13" thickBot="1" x14ac:dyDescent="0.4">
      <c r="M855" s="121"/>
      <c r="S855" s="175"/>
      <c r="T855" s="176"/>
      <c r="U855" s="172"/>
      <c r="V855" s="169"/>
      <c r="W855" s="119"/>
      <c r="X855" s="119"/>
    </row>
    <row r="856" spans="13:24" ht="13" thickBot="1" x14ac:dyDescent="0.4">
      <c r="M856" s="121"/>
      <c r="S856" s="175"/>
      <c r="T856" s="176"/>
      <c r="U856" s="172"/>
      <c r="V856" s="169"/>
      <c r="W856" s="119"/>
      <c r="X856" s="119"/>
    </row>
    <row r="857" spans="13:24" ht="13" thickBot="1" x14ac:dyDescent="0.4">
      <c r="M857" s="121"/>
      <c r="S857" s="175"/>
      <c r="T857" s="176"/>
      <c r="U857" s="172"/>
      <c r="V857" s="169"/>
      <c r="W857" s="119"/>
      <c r="X857" s="119"/>
    </row>
    <row r="858" spans="13:24" ht="13" thickBot="1" x14ac:dyDescent="0.4">
      <c r="M858" s="121"/>
      <c r="S858" s="175"/>
      <c r="T858" s="176"/>
      <c r="U858" s="172"/>
      <c r="V858" s="169"/>
      <c r="W858" s="119"/>
      <c r="X858" s="119"/>
    </row>
    <row r="859" spans="13:24" ht="13" thickBot="1" x14ac:dyDescent="0.4">
      <c r="M859" s="121"/>
      <c r="S859" s="175"/>
      <c r="T859" s="176"/>
      <c r="U859" s="172"/>
      <c r="V859" s="169"/>
      <c r="W859" s="119"/>
      <c r="X859" s="119"/>
    </row>
    <row r="860" spans="13:24" ht="13" thickBot="1" x14ac:dyDescent="0.4">
      <c r="M860" s="121"/>
      <c r="S860" s="175"/>
      <c r="T860" s="176"/>
      <c r="U860" s="172"/>
      <c r="V860" s="169"/>
      <c r="W860" s="119"/>
      <c r="X860" s="119"/>
    </row>
    <row r="861" spans="13:24" ht="13" thickBot="1" x14ac:dyDescent="0.4">
      <c r="M861" s="121"/>
      <c r="S861" s="175"/>
      <c r="T861" s="176"/>
      <c r="U861" s="172"/>
      <c r="V861" s="169"/>
      <c r="W861" s="119"/>
      <c r="X861" s="119"/>
    </row>
    <row r="862" spans="13:24" ht="13" thickBot="1" x14ac:dyDescent="0.4">
      <c r="M862" s="121"/>
      <c r="S862" s="175"/>
      <c r="T862" s="176"/>
      <c r="U862" s="172"/>
      <c r="V862" s="169"/>
      <c r="W862" s="119"/>
      <c r="X862" s="119"/>
    </row>
    <row r="863" spans="13:24" ht="13" thickBot="1" x14ac:dyDescent="0.4">
      <c r="M863" s="121"/>
      <c r="S863" s="175"/>
      <c r="T863" s="176"/>
      <c r="U863" s="172"/>
      <c r="V863" s="169"/>
      <c r="W863" s="119"/>
      <c r="X863" s="119"/>
    </row>
    <row r="864" spans="13:24" ht="13" thickBot="1" x14ac:dyDescent="0.4">
      <c r="M864" s="121"/>
      <c r="S864" s="175"/>
      <c r="T864" s="176"/>
      <c r="U864" s="172"/>
      <c r="V864" s="169"/>
      <c r="W864" s="119"/>
      <c r="X864" s="119"/>
    </row>
    <row r="865" spans="13:24" ht="13" thickBot="1" x14ac:dyDescent="0.4">
      <c r="M865" s="121"/>
      <c r="S865" s="175"/>
      <c r="T865" s="176"/>
      <c r="U865" s="172"/>
      <c r="V865" s="169"/>
      <c r="W865" s="119"/>
      <c r="X865" s="119"/>
    </row>
    <row r="866" spans="13:24" ht="13" thickBot="1" x14ac:dyDescent="0.4">
      <c r="M866" s="121"/>
      <c r="S866" s="175"/>
      <c r="T866" s="176"/>
      <c r="U866" s="172"/>
      <c r="V866" s="169"/>
      <c r="W866" s="119"/>
      <c r="X866" s="119"/>
    </row>
    <row r="867" spans="13:24" ht="13" thickBot="1" x14ac:dyDescent="0.4">
      <c r="M867" s="121"/>
      <c r="S867" s="175"/>
      <c r="T867" s="176"/>
      <c r="U867" s="172"/>
      <c r="V867" s="169"/>
      <c r="W867" s="119"/>
      <c r="X867" s="119"/>
    </row>
    <row r="868" spans="13:24" ht="13" thickBot="1" x14ac:dyDescent="0.4">
      <c r="M868" s="121"/>
      <c r="S868" s="175"/>
      <c r="T868" s="176"/>
      <c r="U868" s="172"/>
      <c r="V868" s="169"/>
      <c r="W868" s="119"/>
      <c r="X868" s="119"/>
    </row>
    <row r="869" spans="13:24" ht="13" thickBot="1" x14ac:dyDescent="0.4">
      <c r="M869" s="121"/>
      <c r="S869" s="175"/>
      <c r="T869" s="176"/>
      <c r="U869" s="172"/>
      <c r="V869" s="169"/>
      <c r="W869" s="119"/>
      <c r="X869" s="119"/>
    </row>
    <row r="870" spans="13:24" ht="13" thickBot="1" x14ac:dyDescent="0.4">
      <c r="M870" s="121"/>
      <c r="S870" s="175"/>
      <c r="T870" s="176"/>
      <c r="U870" s="172"/>
      <c r="V870" s="169"/>
      <c r="W870" s="119"/>
      <c r="X870" s="119"/>
    </row>
    <row r="871" spans="13:24" ht="13" thickBot="1" x14ac:dyDescent="0.4">
      <c r="M871" s="121"/>
      <c r="S871" s="175"/>
      <c r="T871" s="176"/>
      <c r="U871" s="172"/>
      <c r="V871" s="169"/>
      <c r="W871" s="119"/>
      <c r="X871" s="119"/>
    </row>
    <row r="872" spans="13:24" ht="13" thickBot="1" x14ac:dyDescent="0.4">
      <c r="M872" s="121"/>
      <c r="S872" s="175"/>
      <c r="T872" s="176"/>
      <c r="U872" s="172"/>
      <c r="V872" s="169"/>
      <c r="W872" s="119"/>
      <c r="X872" s="119"/>
    </row>
    <row r="873" spans="13:24" ht="13" thickBot="1" x14ac:dyDescent="0.4">
      <c r="M873" s="121"/>
      <c r="S873" s="175"/>
      <c r="T873" s="176"/>
      <c r="U873" s="172"/>
      <c r="V873" s="169"/>
      <c r="W873" s="119"/>
      <c r="X873" s="119"/>
    </row>
    <row r="874" spans="13:24" ht="13" thickBot="1" x14ac:dyDescent="0.4">
      <c r="M874" s="121"/>
      <c r="S874" s="175"/>
      <c r="T874" s="176"/>
      <c r="U874" s="172"/>
      <c r="V874" s="169"/>
      <c r="W874" s="119"/>
      <c r="X874" s="119"/>
    </row>
    <row r="875" spans="13:24" ht="13" thickBot="1" x14ac:dyDescent="0.4">
      <c r="M875" s="121"/>
      <c r="S875" s="175"/>
      <c r="T875" s="176"/>
      <c r="U875" s="172"/>
      <c r="V875" s="169"/>
      <c r="W875" s="119"/>
      <c r="X875" s="119"/>
    </row>
    <row r="876" spans="13:24" ht="13" thickBot="1" x14ac:dyDescent="0.4">
      <c r="M876" s="121"/>
      <c r="S876" s="175"/>
      <c r="T876" s="176"/>
      <c r="U876" s="172"/>
      <c r="V876" s="169"/>
      <c r="W876" s="119"/>
      <c r="X876" s="119"/>
    </row>
    <row r="877" spans="13:24" ht="13" thickBot="1" x14ac:dyDescent="0.4">
      <c r="M877" s="121"/>
      <c r="S877" s="175"/>
      <c r="T877" s="176"/>
      <c r="U877" s="172"/>
      <c r="V877" s="169"/>
      <c r="W877" s="119"/>
      <c r="X877" s="119"/>
    </row>
    <row r="878" spans="13:24" ht="13" thickBot="1" x14ac:dyDescent="0.4">
      <c r="M878" s="121"/>
      <c r="S878" s="175"/>
      <c r="T878" s="176"/>
      <c r="U878" s="172"/>
      <c r="V878" s="169"/>
      <c r="W878" s="119"/>
      <c r="X878" s="119"/>
    </row>
    <row r="879" spans="13:24" ht="13" thickBot="1" x14ac:dyDescent="0.4">
      <c r="M879" s="121"/>
      <c r="S879" s="175"/>
      <c r="T879" s="176"/>
      <c r="U879" s="172"/>
      <c r="V879" s="169"/>
      <c r="W879" s="119"/>
      <c r="X879" s="119"/>
    </row>
    <row r="880" spans="13:24" ht="13" thickBot="1" x14ac:dyDescent="0.4">
      <c r="M880" s="121"/>
      <c r="S880" s="175"/>
      <c r="T880" s="176"/>
      <c r="U880" s="172"/>
      <c r="V880" s="169"/>
      <c r="W880" s="119"/>
      <c r="X880" s="119"/>
    </row>
    <row r="881" spans="13:24" ht="13" thickBot="1" x14ac:dyDescent="0.4">
      <c r="M881" s="121"/>
      <c r="S881" s="175"/>
      <c r="T881" s="176"/>
      <c r="U881" s="172"/>
      <c r="V881" s="169"/>
      <c r="W881" s="119"/>
      <c r="X881" s="119"/>
    </row>
    <row r="882" spans="13:24" ht="13" thickBot="1" x14ac:dyDescent="0.4">
      <c r="M882" s="121"/>
      <c r="S882" s="175"/>
      <c r="T882" s="176"/>
      <c r="U882" s="172"/>
      <c r="V882" s="169"/>
      <c r="W882" s="119"/>
      <c r="X882" s="119"/>
    </row>
    <row r="883" spans="13:24" ht="13" thickBot="1" x14ac:dyDescent="0.4">
      <c r="M883" s="121"/>
      <c r="S883" s="175"/>
      <c r="T883" s="176"/>
      <c r="U883" s="172"/>
      <c r="V883" s="169"/>
      <c r="W883" s="119"/>
      <c r="X883" s="119"/>
    </row>
    <row r="884" spans="13:24" ht="13" thickBot="1" x14ac:dyDescent="0.4">
      <c r="M884" s="121"/>
      <c r="S884" s="175"/>
      <c r="T884" s="176"/>
      <c r="U884" s="172"/>
      <c r="V884" s="169"/>
      <c r="W884" s="119"/>
      <c r="X884" s="119"/>
    </row>
    <row r="885" spans="13:24" ht="13" thickBot="1" x14ac:dyDescent="0.4">
      <c r="M885" s="121"/>
      <c r="S885" s="175"/>
      <c r="T885" s="176"/>
      <c r="U885" s="172"/>
      <c r="V885" s="169"/>
      <c r="W885" s="119"/>
      <c r="X885" s="119"/>
    </row>
    <row r="886" spans="13:24" ht="13" thickBot="1" x14ac:dyDescent="0.4">
      <c r="M886" s="121"/>
      <c r="S886" s="175"/>
      <c r="T886" s="176"/>
      <c r="U886" s="172"/>
      <c r="V886" s="169"/>
      <c r="W886" s="119"/>
      <c r="X886" s="119"/>
    </row>
    <row r="887" spans="13:24" ht="13" thickBot="1" x14ac:dyDescent="0.4">
      <c r="M887" s="121"/>
      <c r="S887" s="175"/>
      <c r="T887" s="176"/>
      <c r="U887" s="172"/>
      <c r="V887" s="169"/>
      <c r="W887" s="119"/>
      <c r="X887" s="119"/>
    </row>
    <row r="888" spans="13:24" ht="13" thickBot="1" x14ac:dyDescent="0.4">
      <c r="M888" s="121"/>
      <c r="S888" s="175"/>
      <c r="T888" s="176"/>
      <c r="U888" s="172"/>
      <c r="V888" s="169"/>
      <c r="W888" s="119"/>
    </row>
    <row r="889" spans="13:24" ht="13" thickBot="1" x14ac:dyDescent="0.4">
      <c r="M889" s="121"/>
      <c r="S889" s="175"/>
      <c r="T889" s="176"/>
      <c r="U889" s="172"/>
      <c r="V889" s="169"/>
      <c r="W889" s="119"/>
    </row>
    <row r="890" spans="13:24" ht="13" thickBot="1" x14ac:dyDescent="0.4">
      <c r="M890" s="121"/>
      <c r="S890" s="175"/>
      <c r="T890" s="176"/>
      <c r="U890" s="172"/>
      <c r="V890" s="169"/>
      <c r="W890" s="119"/>
    </row>
    <row r="891" spans="13:24" ht="13" thickBot="1" x14ac:dyDescent="0.4">
      <c r="M891" s="121"/>
      <c r="S891" s="175"/>
      <c r="T891" s="176"/>
      <c r="U891" s="172"/>
      <c r="V891" s="169"/>
      <c r="W891" s="119"/>
    </row>
    <row r="892" spans="13:24" ht="13" thickBot="1" x14ac:dyDescent="0.4">
      <c r="M892" s="121"/>
      <c r="S892" s="175"/>
      <c r="T892" s="176"/>
      <c r="U892" s="172"/>
      <c r="V892" s="169"/>
      <c r="W892" s="119"/>
    </row>
    <row r="893" spans="13:24" ht="13" thickBot="1" x14ac:dyDescent="0.4">
      <c r="M893" s="121"/>
      <c r="S893" s="175"/>
      <c r="T893" s="176"/>
      <c r="U893" s="172"/>
      <c r="V893" s="169"/>
      <c r="W893" s="119"/>
    </row>
    <row r="894" spans="13:24" ht="13" thickBot="1" x14ac:dyDescent="0.4">
      <c r="M894" s="121"/>
      <c r="S894" s="175"/>
      <c r="T894" s="176"/>
      <c r="U894" s="172"/>
      <c r="V894" s="169"/>
      <c r="W894" s="119"/>
    </row>
    <row r="895" spans="13:24" x14ac:dyDescent="0.35">
      <c r="M895" s="121"/>
    </row>
    <row r="896" spans="13:24" x14ac:dyDescent="0.35">
      <c r="M896" s="121"/>
    </row>
    <row r="897" spans="13:13" x14ac:dyDescent="0.35">
      <c r="M897" s="121"/>
    </row>
    <row r="898" spans="13:13" x14ac:dyDescent="0.35">
      <c r="M898" s="121"/>
    </row>
    <row r="899" spans="13:13" x14ac:dyDescent="0.35">
      <c r="M899" s="121"/>
    </row>
    <row r="900" spans="13:13" x14ac:dyDescent="0.35">
      <c r="M900" s="121"/>
    </row>
    <row r="901" spans="13:13" x14ac:dyDescent="0.35">
      <c r="M901" s="121"/>
    </row>
    <row r="902" spans="13:13" x14ac:dyDescent="0.35">
      <c r="M902" s="121"/>
    </row>
    <row r="903" spans="13:13" x14ac:dyDescent="0.35">
      <c r="M903" s="121"/>
    </row>
    <row r="904" spans="13:13" x14ac:dyDescent="0.35">
      <c r="M904" s="121"/>
    </row>
  </sheetData>
  <mergeCells count="20">
    <mergeCell ref="C63:G63"/>
    <mergeCell ref="Y3:Y4"/>
    <mergeCell ref="D3:D4"/>
    <mergeCell ref="A2:L2"/>
    <mergeCell ref="B3:B4"/>
    <mergeCell ref="E3:I3"/>
    <mergeCell ref="K3:K4"/>
    <mergeCell ref="N2:Y2"/>
    <mergeCell ref="X3:X4"/>
    <mergeCell ref="A1:XFD1"/>
    <mergeCell ref="A3:A4"/>
    <mergeCell ref="C3:C4"/>
    <mergeCell ref="L3:L4"/>
    <mergeCell ref="R3:V3"/>
    <mergeCell ref="C71:G71"/>
    <mergeCell ref="C64:C65"/>
    <mergeCell ref="C81:G81"/>
    <mergeCell ref="C91:G91"/>
    <mergeCell ref="F64:G64"/>
    <mergeCell ref="D64:E64"/>
  </mergeCells>
  <pageMargins left="0.7" right="0.7" top="0.75" bottom="0.75" header="0.3" footer="0.3"/>
  <pageSetup orientation="portrait" r:id="rId1"/>
  <ignoredErrors>
    <ignoredError sqref="R23:R24 H7 U5:U24 R35 R45 S43 G9:H9 H15 H22 H25 H29 H31 H37:H48 R30:R31 R49:R54 T9:T16 T49:T53 U28:U31 U34:U54 T18:T44" numberStoredAsText="1"/>
    <ignoredError sqref="E75:E80 E82:E89 E101:G106 E111:G12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93CAD-4722-4E4B-92A9-2C2CAA36C975}">
  <dimension ref="A1:BG121"/>
  <sheetViews>
    <sheetView zoomScale="70" zoomScaleNormal="70" workbookViewId="0">
      <pane ySplit="2" topLeftCell="A93" activePane="bottomLeft" state="frozen"/>
      <selection pane="bottomLeft" activeCell="N23" sqref="N23"/>
    </sheetView>
  </sheetViews>
  <sheetFormatPr defaultColWidth="9" defaultRowHeight="15.5" x14ac:dyDescent="0.35"/>
  <cols>
    <col min="1" max="1" width="17" style="1" customWidth="1"/>
    <col min="2" max="2" width="9" style="299" customWidth="1"/>
    <col min="3" max="3" width="9.25" style="1" customWidth="1"/>
    <col min="4" max="4" width="10.4140625" style="1" customWidth="1"/>
    <col min="5" max="5" width="9.25" style="1" customWidth="1"/>
    <col min="6" max="8" width="9.25" style="369" customWidth="1"/>
    <col min="9" max="9" width="9.25" style="1" customWidth="1"/>
    <col min="10" max="10" width="9.25" style="369" customWidth="1"/>
    <col min="11" max="11" width="10.4140625" style="369" customWidth="1"/>
    <col min="12" max="12" width="10.6640625" style="369" customWidth="1"/>
    <col min="13" max="22" width="9.25" style="369" customWidth="1"/>
    <col min="23" max="26" width="9.25" style="370" customWidth="1"/>
    <col min="27" max="28" width="9.25" style="7" customWidth="1"/>
    <col min="29" max="29" width="9.25" style="1" customWidth="1"/>
    <col min="30" max="30" width="9.25" style="370" customWidth="1"/>
    <col min="31" max="31" width="11.75" style="1" customWidth="1"/>
    <col min="32" max="32" width="11.25" style="1" bestFit="1" customWidth="1"/>
    <col min="33" max="33" width="11.25" style="1" customWidth="1"/>
    <col min="34" max="34" width="12.25" style="1" customWidth="1"/>
    <col min="35" max="35" width="13.5" style="441" customWidth="1"/>
    <col min="36" max="36" width="9.58203125" style="1" customWidth="1"/>
    <col min="37" max="37" width="17.4140625" style="1" customWidth="1"/>
    <col min="38" max="38" width="15.83203125" style="7" customWidth="1"/>
    <col min="39" max="39" width="16.75" style="1" customWidth="1"/>
    <col min="40" max="40" width="15.83203125" style="3" customWidth="1"/>
    <col min="41" max="43" width="15.83203125" style="1" customWidth="1"/>
    <col min="45" max="45" width="7.1640625" style="299" customWidth="1"/>
    <col min="46" max="46" width="9.58203125" style="1" customWidth="1"/>
    <col min="47" max="47" width="13.9140625" style="1" customWidth="1"/>
    <col min="48" max="48" width="9.58203125" style="7" customWidth="1"/>
    <col min="49" max="49" width="12.33203125" style="1" customWidth="1"/>
    <col min="50" max="51" width="9.58203125" style="3" customWidth="1"/>
    <col min="52" max="52" width="16.75" style="1" customWidth="1"/>
    <col min="53" max="53" width="12.83203125" style="61" customWidth="1"/>
    <col min="54" max="56" width="9.58203125" style="1" customWidth="1"/>
    <col min="57" max="57" width="9.58203125" style="235" customWidth="1"/>
    <col min="58" max="58" width="9.58203125" style="1" customWidth="1"/>
    <col min="59" max="59" width="9.58203125" style="235" customWidth="1"/>
    <col min="60" max="61" width="9.58203125" style="1" customWidth="1"/>
    <col min="62" max="16384" width="9" style="1"/>
  </cols>
  <sheetData>
    <row r="1" spans="1:59" ht="20" x14ac:dyDescent="0.4">
      <c r="A1" s="220" t="s">
        <v>579</v>
      </c>
      <c r="B1" s="303"/>
      <c r="C1" s="22"/>
      <c r="D1" s="22"/>
      <c r="E1" s="22"/>
      <c r="F1" s="367"/>
      <c r="G1" s="367"/>
      <c r="H1" s="367"/>
      <c r="I1" s="22"/>
      <c r="J1" s="367"/>
      <c r="K1" s="367"/>
      <c r="L1" s="367"/>
      <c r="M1" s="367"/>
      <c r="N1" s="367"/>
      <c r="O1" s="367"/>
      <c r="P1" s="367"/>
      <c r="Q1" s="367"/>
      <c r="R1" s="367"/>
      <c r="S1" s="368"/>
      <c r="T1" s="368"/>
      <c r="U1" s="368"/>
    </row>
    <row r="2" spans="1:59" s="59" customFormat="1" ht="23.5" customHeight="1" x14ac:dyDescent="0.35">
      <c r="B2" s="502" t="s">
        <v>9</v>
      </c>
      <c r="C2" s="503" t="s">
        <v>461</v>
      </c>
      <c r="D2" s="503" t="s">
        <v>462</v>
      </c>
      <c r="E2" s="505" t="s">
        <v>812</v>
      </c>
      <c r="F2" s="506"/>
      <c r="G2" s="498" t="s">
        <v>44</v>
      </c>
      <c r="H2" s="498"/>
      <c r="I2" s="471" t="s">
        <v>811</v>
      </c>
      <c r="J2" s="472"/>
      <c r="K2" s="498" t="s">
        <v>23</v>
      </c>
      <c r="L2" s="498"/>
      <c r="M2" s="498" t="s">
        <v>24</v>
      </c>
      <c r="N2" s="498"/>
      <c r="O2" s="499" t="s">
        <v>86</v>
      </c>
      <c r="P2" s="499"/>
      <c r="Q2" s="499" t="s">
        <v>87</v>
      </c>
      <c r="R2" s="499"/>
      <c r="S2" s="500" t="s">
        <v>88</v>
      </c>
      <c r="T2" s="501"/>
      <c r="U2" s="500" t="s">
        <v>89</v>
      </c>
      <c r="V2" s="501"/>
      <c r="W2" s="484" t="s">
        <v>816</v>
      </c>
      <c r="X2" s="485"/>
      <c r="Y2" s="484" t="s">
        <v>817</v>
      </c>
      <c r="Z2" s="485"/>
      <c r="AA2" s="490" t="s">
        <v>90</v>
      </c>
      <c r="AB2" s="490"/>
      <c r="AC2" s="490" t="s">
        <v>91</v>
      </c>
      <c r="AD2" s="490"/>
      <c r="AI2" s="477" t="s">
        <v>30</v>
      </c>
      <c r="AJ2" s="477"/>
      <c r="AK2" s="477"/>
      <c r="AL2" s="477"/>
      <c r="AM2" s="477"/>
      <c r="AN2" s="477"/>
      <c r="AO2" s="477"/>
      <c r="AP2" s="477"/>
      <c r="AQ2" s="477"/>
      <c r="AS2" s="491" t="s">
        <v>29</v>
      </c>
      <c r="AT2" s="492"/>
      <c r="AU2" s="492"/>
      <c r="AV2" s="492"/>
      <c r="AW2" s="492"/>
      <c r="AX2" s="492"/>
      <c r="AY2" s="492"/>
      <c r="AZ2" s="492"/>
      <c r="BA2" s="493"/>
      <c r="BB2" s="196"/>
      <c r="BC2" s="196"/>
      <c r="BD2" s="196"/>
      <c r="BE2" s="295"/>
      <c r="BF2" s="196"/>
      <c r="BG2" s="586"/>
    </row>
    <row r="3" spans="1:59" s="310" customFormat="1" ht="39" x14ac:dyDescent="0.35">
      <c r="B3" s="502"/>
      <c r="C3" s="504"/>
      <c r="D3" s="504"/>
      <c r="E3" s="340" t="s">
        <v>2</v>
      </c>
      <c r="F3" s="357" t="s">
        <v>0</v>
      </c>
      <c r="G3" s="356" t="s">
        <v>2</v>
      </c>
      <c r="H3" s="357" t="s">
        <v>0</v>
      </c>
      <c r="I3" s="340" t="s">
        <v>2</v>
      </c>
      <c r="J3" s="357" t="s">
        <v>0</v>
      </c>
      <c r="K3" s="356" t="s">
        <v>2</v>
      </c>
      <c r="L3" s="357" t="s">
        <v>0</v>
      </c>
      <c r="M3" s="356" t="s">
        <v>2</v>
      </c>
      <c r="N3" s="357" t="s">
        <v>0</v>
      </c>
      <c r="O3" s="356" t="s">
        <v>2</v>
      </c>
      <c r="P3" s="357" t="s">
        <v>0</v>
      </c>
      <c r="Q3" s="356" t="s">
        <v>2</v>
      </c>
      <c r="R3" s="357" t="s">
        <v>0</v>
      </c>
      <c r="S3" s="356" t="s">
        <v>2</v>
      </c>
      <c r="T3" s="357" t="s">
        <v>0</v>
      </c>
      <c r="U3" s="356" t="s">
        <v>2</v>
      </c>
      <c r="V3" s="357" t="s">
        <v>0</v>
      </c>
      <c r="W3" s="356" t="s">
        <v>2</v>
      </c>
      <c r="X3" s="357" t="s">
        <v>0</v>
      </c>
      <c r="Y3" s="356" t="s">
        <v>2</v>
      </c>
      <c r="Z3" s="357" t="s">
        <v>0</v>
      </c>
      <c r="AA3" s="340" t="s">
        <v>2</v>
      </c>
      <c r="AB3" s="311" t="s">
        <v>0</v>
      </c>
      <c r="AC3" s="340" t="s">
        <v>2</v>
      </c>
      <c r="AD3" s="357" t="s">
        <v>0</v>
      </c>
      <c r="AH3" s="427" t="s">
        <v>789</v>
      </c>
      <c r="AI3" s="442" t="s">
        <v>9</v>
      </c>
      <c r="AJ3" s="183" t="s">
        <v>50</v>
      </c>
      <c r="AK3" s="444" t="s">
        <v>333</v>
      </c>
      <c r="AL3" s="444" t="s">
        <v>332</v>
      </c>
      <c r="AM3" s="444" t="s">
        <v>334</v>
      </c>
      <c r="AN3" s="444" t="s">
        <v>332</v>
      </c>
      <c r="AO3" s="212" t="s">
        <v>776</v>
      </c>
      <c r="AP3" s="444" t="s">
        <v>56</v>
      </c>
      <c r="AQ3" s="444" t="s">
        <v>771</v>
      </c>
      <c r="AS3" s="334" t="s">
        <v>9</v>
      </c>
      <c r="AT3" s="444" t="s">
        <v>50</v>
      </c>
      <c r="AU3" s="444" t="s">
        <v>333</v>
      </c>
      <c r="AV3" s="444" t="s">
        <v>332</v>
      </c>
      <c r="AW3" s="444" t="s">
        <v>334</v>
      </c>
      <c r="AX3" s="444" t="s">
        <v>332</v>
      </c>
      <c r="AY3" s="212" t="s">
        <v>776</v>
      </c>
      <c r="AZ3" s="444" t="s">
        <v>56</v>
      </c>
      <c r="BA3" s="444" t="s">
        <v>771</v>
      </c>
      <c r="BE3" s="312"/>
      <c r="BG3" s="312"/>
    </row>
    <row r="4" spans="1:59" s="255" customFormat="1" ht="15" customHeight="1" x14ac:dyDescent="0.25">
      <c r="B4" s="304">
        <v>1</v>
      </c>
      <c r="C4" s="238">
        <v>9</v>
      </c>
      <c r="D4" s="238">
        <v>5</v>
      </c>
      <c r="E4" s="254">
        <v>5</v>
      </c>
      <c r="F4" s="358">
        <v>2</v>
      </c>
      <c r="G4" s="358">
        <v>2</v>
      </c>
      <c r="H4" s="358"/>
      <c r="I4" s="254"/>
      <c r="J4" s="358"/>
      <c r="K4" s="371">
        <v>5</v>
      </c>
      <c r="L4" s="358">
        <v>3</v>
      </c>
      <c r="M4" s="371">
        <v>6</v>
      </c>
      <c r="N4" s="358">
        <v>3</v>
      </c>
      <c r="O4" s="371">
        <v>5</v>
      </c>
      <c r="P4" s="371">
        <v>2</v>
      </c>
      <c r="Q4" s="371">
        <v>7</v>
      </c>
      <c r="R4" s="358">
        <v>1</v>
      </c>
      <c r="S4" s="358"/>
      <c r="T4" s="371"/>
      <c r="U4" s="358"/>
      <c r="V4" s="372"/>
      <c r="W4" s="439">
        <v>2</v>
      </c>
      <c r="X4" s="439"/>
      <c r="Y4" s="440"/>
      <c r="Z4" s="439"/>
      <c r="AA4" s="254"/>
      <c r="AB4" s="254"/>
      <c r="AC4" s="254">
        <v>8</v>
      </c>
      <c r="AD4" s="366">
        <v>4</v>
      </c>
      <c r="AH4" s="239" t="s">
        <v>331</v>
      </c>
      <c r="AI4" s="300">
        <v>1</v>
      </c>
      <c r="AJ4" s="240" t="s">
        <v>94</v>
      </c>
      <c r="AK4" s="241" t="s">
        <v>331</v>
      </c>
      <c r="AL4" s="242">
        <v>8</v>
      </c>
      <c r="AM4" s="241"/>
      <c r="AN4" s="242"/>
      <c r="AO4" s="297">
        <v>8</v>
      </c>
      <c r="AP4" s="241"/>
      <c r="AQ4" s="301">
        <v>1</v>
      </c>
      <c r="AS4" s="445">
        <v>1</v>
      </c>
      <c r="AT4" s="242" t="s">
        <v>187</v>
      </c>
      <c r="AU4" s="241" t="s">
        <v>787</v>
      </c>
      <c r="AV4" s="242">
        <v>3</v>
      </c>
      <c r="AW4" s="241"/>
      <c r="AX4" s="242"/>
      <c r="AY4" s="297">
        <v>3</v>
      </c>
      <c r="AZ4" s="243"/>
      <c r="BA4" s="302">
        <v>1</v>
      </c>
    </row>
    <row r="5" spans="1:59" s="255" customFormat="1" ht="12.5" x14ac:dyDescent="0.25">
      <c r="B5" s="304">
        <v>2</v>
      </c>
      <c r="C5" s="238">
        <v>11</v>
      </c>
      <c r="D5" s="238">
        <v>8</v>
      </c>
      <c r="E5" s="254">
        <v>7</v>
      </c>
      <c r="F5" s="358">
        <v>1</v>
      </c>
      <c r="G5" s="358">
        <v>2</v>
      </c>
      <c r="H5" s="358">
        <v>1</v>
      </c>
      <c r="I5" s="254">
        <v>4</v>
      </c>
      <c r="J5" s="358"/>
      <c r="K5" s="371">
        <v>3</v>
      </c>
      <c r="L5" s="358">
        <v>3</v>
      </c>
      <c r="M5" s="371">
        <v>6</v>
      </c>
      <c r="N5" s="358">
        <v>3</v>
      </c>
      <c r="O5" s="371">
        <v>6</v>
      </c>
      <c r="P5" s="373">
        <v>5</v>
      </c>
      <c r="Q5" s="371">
        <v>6</v>
      </c>
      <c r="R5" s="358">
        <v>5</v>
      </c>
      <c r="S5" s="358"/>
      <c r="T5" s="373"/>
      <c r="U5" s="358"/>
      <c r="V5" s="358"/>
      <c r="W5" s="439"/>
      <c r="X5" s="439"/>
      <c r="Y5" s="440"/>
      <c r="Z5" s="439"/>
      <c r="AA5" s="254">
        <v>4</v>
      </c>
      <c r="AB5" s="254"/>
      <c r="AC5" s="254">
        <v>7</v>
      </c>
      <c r="AD5" s="358">
        <v>5</v>
      </c>
      <c r="AH5" s="239" t="s">
        <v>336</v>
      </c>
      <c r="AI5" s="300">
        <v>2</v>
      </c>
      <c r="AJ5" s="240" t="s">
        <v>98</v>
      </c>
      <c r="AK5" s="241" t="s">
        <v>331</v>
      </c>
      <c r="AL5" s="242">
        <v>7</v>
      </c>
      <c r="AM5" s="241"/>
      <c r="AN5" s="242"/>
      <c r="AO5" s="297">
        <v>7</v>
      </c>
      <c r="AP5" s="241"/>
      <c r="AQ5" s="301">
        <v>1</v>
      </c>
      <c r="AS5" s="445">
        <v>2</v>
      </c>
      <c r="AT5" s="242" t="s">
        <v>188</v>
      </c>
      <c r="AU5" s="241" t="s">
        <v>787</v>
      </c>
      <c r="AV5" s="242">
        <v>5</v>
      </c>
      <c r="AW5" s="241"/>
      <c r="AX5" s="242"/>
      <c r="AY5" s="297">
        <v>5</v>
      </c>
      <c r="AZ5" s="243"/>
      <c r="BA5" s="302">
        <v>1</v>
      </c>
    </row>
    <row r="6" spans="1:59" s="255" customFormat="1" ht="12.5" x14ac:dyDescent="0.25">
      <c r="B6" s="304">
        <v>3</v>
      </c>
      <c r="C6" s="238">
        <v>3</v>
      </c>
      <c r="D6" s="238">
        <v>4</v>
      </c>
      <c r="E6" s="254">
        <v>5</v>
      </c>
      <c r="F6" s="358">
        <v>3</v>
      </c>
      <c r="G6" s="358">
        <v>2</v>
      </c>
      <c r="H6" s="358">
        <v>1</v>
      </c>
      <c r="I6" s="254">
        <v>6</v>
      </c>
      <c r="J6" s="358">
        <v>2</v>
      </c>
      <c r="K6" s="371">
        <v>4</v>
      </c>
      <c r="L6" s="358">
        <v>3</v>
      </c>
      <c r="M6" s="371">
        <v>6</v>
      </c>
      <c r="N6" s="358">
        <v>3</v>
      </c>
      <c r="O6" s="371">
        <v>5</v>
      </c>
      <c r="P6" s="371">
        <v>5</v>
      </c>
      <c r="Q6" s="371">
        <v>7</v>
      </c>
      <c r="R6" s="358">
        <v>5</v>
      </c>
      <c r="S6" s="358"/>
      <c r="T6" s="371">
        <v>3</v>
      </c>
      <c r="U6" s="358"/>
      <c r="V6" s="358">
        <v>5</v>
      </c>
      <c r="W6" s="439">
        <v>1</v>
      </c>
      <c r="X6" s="439"/>
      <c r="Y6" s="440">
        <v>2</v>
      </c>
      <c r="Z6" s="439">
        <v>1</v>
      </c>
      <c r="AA6" s="254">
        <v>4</v>
      </c>
      <c r="AB6" s="254">
        <v>2</v>
      </c>
      <c r="AC6" s="254">
        <v>8</v>
      </c>
      <c r="AD6" s="358">
        <v>5</v>
      </c>
      <c r="AH6" s="239" t="s">
        <v>787</v>
      </c>
      <c r="AI6" s="300">
        <v>3</v>
      </c>
      <c r="AJ6" s="240" t="s">
        <v>102</v>
      </c>
      <c r="AK6" s="241" t="s">
        <v>336</v>
      </c>
      <c r="AL6" s="242">
        <v>2</v>
      </c>
      <c r="AM6" s="241" t="s">
        <v>331</v>
      </c>
      <c r="AN6" s="242">
        <v>7</v>
      </c>
      <c r="AO6" s="297">
        <v>9</v>
      </c>
      <c r="AP6" s="241" t="s">
        <v>457</v>
      </c>
      <c r="AQ6" s="301">
        <v>1</v>
      </c>
      <c r="AS6" s="445">
        <v>3</v>
      </c>
      <c r="AT6" s="242" t="s">
        <v>189</v>
      </c>
      <c r="AU6" s="241" t="s">
        <v>787</v>
      </c>
      <c r="AV6" s="242">
        <v>5</v>
      </c>
      <c r="AW6" s="241"/>
      <c r="AX6" s="242"/>
      <c r="AY6" s="297">
        <v>5</v>
      </c>
      <c r="AZ6" s="243"/>
      <c r="BA6" s="302">
        <v>1</v>
      </c>
      <c r="BE6" s="296"/>
      <c r="BG6" s="296"/>
    </row>
    <row r="7" spans="1:59" s="255" customFormat="1" ht="12.5" x14ac:dyDescent="0.25">
      <c r="B7" s="304">
        <v>4</v>
      </c>
      <c r="C7" s="238">
        <v>8</v>
      </c>
      <c r="D7" s="238">
        <v>12</v>
      </c>
      <c r="E7" s="254">
        <v>5</v>
      </c>
      <c r="F7" s="358">
        <v>2</v>
      </c>
      <c r="G7" s="358">
        <v>2</v>
      </c>
      <c r="H7" s="358">
        <v>1</v>
      </c>
      <c r="I7" s="254">
        <v>3</v>
      </c>
      <c r="J7" s="358">
        <v>2</v>
      </c>
      <c r="K7" s="371">
        <v>3</v>
      </c>
      <c r="L7" s="358">
        <v>2</v>
      </c>
      <c r="M7" s="371">
        <v>6</v>
      </c>
      <c r="N7" s="358">
        <v>2</v>
      </c>
      <c r="O7" s="371"/>
      <c r="P7" s="373">
        <v>4</v>
      </c>
      <c r="Q7" s="371">
        <v>7</v>
      </c>
      <c r="R7" s="358">
        <v>2</v>
      </c>
      <c r="S7" s="358"/>
      <c r="T7" s="373"/>
      <c r="U7" s="358"/>
      <c r="V7" s="358"/>
      <c r="W7" s="439"/>
      <c r="X7" s="439">
        <v>3</v>
      </c>
      <c r="Y7" s="440">
        <v>2</v>
      </c>
      <c r="Z7" s="439">
        <v>1</v>
      </c>
      <c r="AA7" s="254"/>
      <c r="AB7" s="250">
        <v>1</v>
      </c>
      <c r="AC7" s="254">
        <v>7</v>
      </c>
      <c r="AD7" s="358">
        <v>5</v>
      </c>
      <c r="AH7" s="239" t="s">
        <v>788</v>
      </c>
      <c r="AI7" s="300">
        <v>4</v>
      </c>
      <c r="AJ7" s="240" t="s">
        <v>105</v>
      </c>
      <c r="AK7" s="241" t="s">
        <v>331</v>
      </c>
      <c r="AL7" s="242">
        <v>7</v>
      </c>
      <c r="AM7" s="241"/>
      <c r="AN7" s="242"/>
      <c r="AO7" s="297">
        <v>7</v>
      </c>
      <c r="AP7" s="241"/>
      <c r="AQ7" s="301">
        <v>1</v>
      </c>
      <c r="AS7" s="445">
        <v>4</v>
      </c>
      <c r="AT7" s="242" t="s">
        <v>190</v>
      </c>
      <c r="AU7" s="241" t="s">
        <v>787</v>
      </c>
      <c r="AV7" s="242">
        <v>5</v>
      </c>
      <c r="AW7" s="241"/>
      <c r="AX7" s="242"/>
      <c r="AY7" s="297">
        <v>5</v>
      </c>
      <c r="AZ7" s="243"/>
      <c r="BA7" s="302">
        <v>1</v>
      </c>
      <c r="BE7" s="296"/>
      <c r="BG7" s="296"/>
    </row>
    <row r="8" spans="1:59" s="255" customFormat="1" ht="12.5" x14ac:dyDescent="0.25">
      <c r="B8" s="304">
        <v>5</v>
      </c>
      <c r="C8" s="244">
        <v>10</v>
      </c>
      <c r="D8" s="238">
        <v>15</v>
      </c>
      <c r="E8" s="254">
        <v>8</v>
      </c>
      <c r="F8" s="358">
        <v>5</v>
      </c>
      <c r="G8" s="358">
        <v>5</v>
      </c>
      <c r="H8" s="358"/>
      <c r="I8" s="254"/>
      <c r="J8" s="358">
        <v>2</v>
      </c>
      <c r="K8" s="371"/>
      <c r="L8" s="358">
        <v>2</v>
      </c>
      <c r="M8" s="371">
        <v>5</v>
      </c>
      <c r="N8" s="358">
        <v>3</v>
      </c>
      <c r="O8" s="371">
        <v>6</v>
      </c>
      <c r="P8" s="371">
        <v>6</v>
      </c>
      <c r="Q8" s="371">
        <v>10</v>
      </c>
      <c r="R8" s="358">
        <v>5</v>
      </c>
      <c r="S8" s="358">
        <v>5</v>
      </c>
      <c r="T8" s="373">
        <v>9</v>
      </c>
      <c r="U8" s="358"/>
      <c r="V8" s="358"/>
      <c r="W8" s="439"/>
      <c r="X8" s="439"/>
      <c r="Y8" s="440"/>
      <c r="Z8" s="439">
        <v>5</v>
      </c>
      <c r="AA8" s="254"/>
      <c r="AB8" s="254">
        <v>1</v>
      </c>
      <c r="AC8" s="254">
        <v>10</v>
      </c>
      <c r="AD8" s="358">
        <v>9</v>
      </c>
      <c r="AH8" s="239" t="s">
        <v>335</v>
      </c>
      <c r="AI8" s="300">
        <v>5</v>
      </c>
      <c r="AJ8" s="240" t="s">
        <v>108</v>
      </c>
      <c r="AK8" s="241" t="s">
        <v>331</v>
      </c>
      <c r="AL8" s="242">
        <v>10</v>
      </c>
      <c r="AM8" s="241"/>
      <c r="AN8" s="242"/>
      <c r="AO8" s="297">
        <v>10</v>
      </c>
      <c r="AP8" s="241"/>
      <c r="AQ8" s="301">
        <v>1</v>
      </c>
      <c r="AS8" s="445">
        <v>5</v>
      </c>
      <c r="AT8" s="242" t="s">
        <v>191</v>
      </c>
      <c r="AU8" s="241" t="s">
        <v>331</v>
      </c>
      <c r="AV8" s="242">
        <v>9</v>
      </c>
      <c r="AW8" s="241"/>
      <c r="AX8" s="242"/>
      <c r="AY8" s="297">
        <v>9</v>
      </c>
      <c r="AZ8" s="243"/>
      <c r="BA8" s="302">
        <v>1</v>
      </c>
      <c r="BE8" s="296"/>
      <c r="BG8" s="296"/>
    </row>
    <row r="9" spans="1:59" s="255" customFormat="1" ht="14" x14ac:dyDescent="0.3">
      <c r="B9" s="304">
        <v>6</v>
      </c>
      <c r="C9" s="238">
        <v>1</v>
      </c>
      <c r="D9" s="238">
        <v>2</v>
      </c>
      <c r="E9" s="254">
        <v>6</v>
      </c>
      <c r="F9" s="358">
        <v>5</v>
      </c>
      <c r="G9" s="358">
        <v>2</v>
      </c>
      <c r="H9" s="358"/>
      <c r="I9" s="254"/>
      <c r="J9" s="358">
        <v>4</v>
      </c>
      <c r="K9" s="371">
        <v>4</v>
      </c>
      <c r="L9" s="358"/>
      <c r="M9" s="371">
        <v>5</v>
      </c>
      <c r="N9" s="358">
        <v>4</v>
      </c>
      <c r="O9" s="371">
        <v>6</v>
      </c>
      <c r="P9" s="371">
        <v>4</v>
      </c>
      <c r="Q9" s="371">
        <v>6</v>
      </c>
      <c r="R9" s="358">
        <v>5</v>
      </c>
      <c r="S9" s="358"/>
      <c r="T9" s="373"/>
      <c r="U9" s="358"/>
      <c r="V9" s="358"/>
      <c r="W9" s="439">
        <v>1</v>
      </c>
      <c r="X9" s="439"/>
      <c r="Y9" s="439"/>
      <c r="Z9" s="439">
        <v>1</v>
      </c>
      <c r="AA9" s="254"/>
      <c r="AB9" s="254">
        <v>4</v>
      </c>
      <c r="AC9" s="254">
        <v>7</v>
      </c>
      <c r="AD9" s="358">
        <v>6</v>
      </c>
      <c r="AH9" s="1"/>
      <c r="AI9" s="300">
        <v>6</v>
      </c>
      <c r="AJ9" s="240" t="s">
        <v>109</v>
      </c>
      <c r="AK9" s="241" t="s">
        <v>331</v>
      </c>
      <c r="AL9" s="242">
        <v>7</v>
      </c>
      <c r="AM9" s="241"/>
      <c r="AN9" s="242"/>
      <c r="AO9" s="297">
        <v>7</v>
      </c>
      <c r="AP9" s="241"/>
      <c r="AQ9" s="301">
        <v>1</v>
      </c>
      <c r="AS9" s="445">
        <v>6</v>
      </c>
      <c r="AT9" s="242" t="s">
        <v>192</v>
      </c>
      <c r="AU9" s="241" t="s">
        <v>331</v>
      </c>
      <c r="AV9" s="242">
        <v>6</v>
      </c>
      <c r="AW9" s="241"/>
      <c r="AX9" s="242"/>
      <c r="AY9" s="297">
        <v>6</v>
      </c>
      <c r="AZ9" s="243"/>
      <c r="BA9" s="302">
        <v>1</v>
      </c>
      <c r="BE9" s="296"/>
      <c r="BG9" s="296"/>
    </row>
    <row r="10" spans="1:59" s="255" customFormat="1" ht="12.5" x14ac:dyDescent="0.25">
      <c r="B10" s="304">
        <v>7</v>
      </c>
      <c r="C10" s="238">
        <v>1</v>
      </c>
      <c r="D10" s="238">
        <v>5</v>
      </c>
      <c r="E10" s="254">
        <v>4</v>
      </c>
      <c r="F10" s="358">
        <v>4</v>
      </c>
      <c r="G10" s="358"/>
      <c r="H10" s="358">
        <v>1</v>
      </c>
      <c r="I10" s="254">
        <v>3</v>
      </c>
      <c r="J10" s="358">
        <v>2</v>
      </c>
      <c r="K10" s="371">
        <v>4</v>
      </c>
      <c r="L10" s="358"/>
      <c r="M10" s="371">
        <v>3</v>
      </c>
      <c r="N10" s="358">
        <v>3</v>
      </c>
      <c r="O10" s="371">
        <v>4</v>
      </c>
      <c r="P10" s="371">
        <v>5</v>
      </c>
      <c r="Q10" s="371">
        <v>4</v>
      </c>
      <c r="R10" s="358">
        <v>5</v>
      </c>
      <c r="S10" s="358"/>
      <c r="T10" s="373">
        <v>3</v>
      </c>
      <c r="U10" s="358"/>
      <c r="V10" s="358"/>
      <c r="W10" s="439"/>
      <c r="X10" s="439"/>
      <c r="Y10" s="439"/>
      <c r="Z10" s="439"/>
      <c r="AA10" s="254">
        <v>2</v>
      </c>
      <c r="AB10" s="250">
        <v>1</v>
      </c>
      <c r="AC10" s="254">
        <v>4</v>
      </c>
      <c r="AD10" s="358">
        <v>5</v>
      </c>
      <c r="AH10" s="239"/>
      <c r="AI10" s="300">
        <v>7</v>
      </c>
      <c r="AJ10" s="240" t="s">
        <v>113</v>
      </c>
      <c r="AK10" s="241" t="s">
        <v>331</v>
      </c>
      <c r="AL10" s="242">
        <v>4</v>
      </c>
      <c r="AM10" s="241"/>
      <c r="AN10" s="242"/>
      <c r="AO10" s="297">
        <v>4</v>
      </c>
      <c r="AP10" s="241"/>
      <c r="AQ10" s="301">
        <v>1</v>
      </c>
      <c r="AS10" s="445">
        <v>7</v>
      </c>
      <c r="AT10" s="242" t="s">
        <v>193</v>
      </c>
      <c r="AU10" s="241" t="s">
        <v>331</v>
      </c>
      <c r="AV10" s="242">
        <v>5</v>
      </c>
      <c r="AW10" s="241"/>
      <c r="AX10" s="242"/>
      <c r="AY10" s="297">
        <v>5</v>
      </c>
      <c r="AZ10" s="243"/>
      <c r="BA10" s="302">
        <v>1</v>
      </c>
      <c r="BE10" s="296"/>
      <c r="BG10" s="296"/>
    </row>
    <row r="11" spans="1:59" s="255" customFormat="1" ht="12.5" x14ac:dyDescent="0.25">
      <c r="B11" s="304">
        <v>8</v>
      </c>
      <c r="C11" s="245">
        <v>23</v>
      </c>
      <c r="D11" s="238">
        <v>3</v>
      </c>
      <c r="E11" s="254">
        <v>4</v>
      </c>
      <c r="F11" s="358">
        <v>4</v>
      </c>
      <c r="G11" s="358">
        <v>1</v>
      </c>
      <c r="H11" s="358"/>
      <c r="I11" s="254">
        <v>2</v>
      </c>
      <c r="J11" s="358">
        <v>1</v>
      </c>
      <c r="K11" s="371">
        <v>4</v>
      </c>
      <c r="L11" s="358">
        <v>4</v>
      </c>
      <c r="M11" s="371">
        <v>3</v>
      </c>
      <c r="N11" s="358">
        <v>4</v>
      </c>
      <c r="O11" s="371">
        <v>5</v>
      </c>
      <c r="P11" s="371">
        <v>4</v>
      </c>
      <c r="Q11" s="371">
        <v>6</v>
      </c>
      <c r="R11" s="358">
        <v>4</v>
      </c>
      <c r="S11" s="358"/>
      <c r="T11" s="373">
        <v>4</v>
      </c>
      <c r="U11" s="358"/>
      <c r="V11" s="358">
        <v>4</v>
      </c>
      <c r="W11" s="439">
        <v>1</v>
      </c>
      <c r="X11" s="439">
        <v>1</v>
      </c>
      <c r="Y11" s="439">
        <v>3</v>
      </c>
      <c r="Z11" s="439"/>
      <c r="AA11" s="254">
        <v>2</v>
      </c>
      <c r="AB11" s="254"/>
      <c r="AC11" s="254">
        <v>6</v>
      </c>
      <c r="AD11" s="358">
        <v>5</v>
      </c>
      <c r="AH11" s="239"/>
      <c r="AI11" s="300">
        <v>8</v>
      </c>
      <c r="AJ11" s="240" t="s">
        <v>117</v>
      </c>
      <c r="AK11" s="241" t="s">
        <v>331</v>
      </c>
      <c r="AL11" s="242">
        <v>2</v>
      </c>
      <c r="AM11" s="241"/>
      <c r="AN11" s="242"/>
      <c r="AO11" s="297">
        <v>2</v>
      </c>
      <c r="AP11" s="241"/>
      <c r="AQ11" s="301">
        <v>1</v>
      </c>
      <c r="AS11" s="445">
        <v>8</v>
      </c>
      <c r="AT11" s="242" t="s">
        <v>194</v>
      </c>
      <c r="AU11" s="241" t="s">
        <v>331</v>
      </c>
      <c r="AV11" s="242">
        <v>5</v>
      </c>
      <c r="AW11" s="241" t="s">
        <v>788</v>
      </c>
      <c r="AX11" s="242">
        <v>5</v>
      </c>
      <c r="AY11" s="297">
        <v>5</v>
      </c>
      <c r="AZ11" s="243" t="s">
        <v>458</v>
      </c>
      <c r="BA11" s="302">
        <v>2</v>
      </c>
      <c r="BE11" s="296"/>
      <c r="BG11" s="296"/>
    </row>
    <row r="12" spans="1:59" s="255" customFormat="1" ht="12.5" x14ac:dyDescent="0.25">
      <c r="B12" s="304">
        <v>9</v>
      </c>
      <c r="C12" s="246">
        <v>1</v>
      </c>
      <c r="D12" s="238">
        <v>2</v>
      </c>
      <c r="E12" s="254">
        <v>8</v>
      </c>
      <c r="F12" s="358">
        <v>6</v>
      </c>
      <c r="G12" s="358">
        <v>1</v>
      </c>
      <c r="H12" s="361"/>
      <c r="I12" s="254">
        <v>6</v>
      </c>
      <c r="J12" s="358">
        <v>6</v>
      </c>
      <c r="K12" s="371"/>
      <c r="L12" s="358">
        <v>6</v>
      </c>
      <c r="M12" s="371">
        <v>7</v>
      </c>
      <c r="N12" s="358">
        <v>6</v>
      </c>
      <c r="O12" s="371">
        <v>8</v>
      </c>
      <c r="P12" s="371">
        <v>6</v>
      </c>
      <c r="Q12" s="371">
        <v>8</v>
      </c>
      <c r="R12" s="358">
        <v>4</v>
      </c>
      <c r="S12" s="358"/>
      <c r="T12" s="373"/>
      <c r="U12" s="358"/>
      <c r="V12" s="358"/>
      <c r="W12" s="439">
        <v>1</v>
      </c>
      <c r="X12" s="439"/>
      <c r="Y12" s="439"/>
      <c r="Z12" s="439"/>
      <c r="AA12" s="254">
        <v>6</v>
      </c>
      <c r="AB12" s="250">
        <v>5</v>
      </c>
      <c r="AC12" s="254">
        <v>9</v>
      </c>
      <c r="AD12" s="358">
        <v>7</v>
      </c>
      <c r="AH12" s="247"/>
      <c r="AI12" s="300">
        <v>9</v>
      </c>
      <c r="AJ12" s="240" t="s">
        <v>119</v>
      </c>
      <c r="AK12" s="241" t="s">
        <v>787</v>
      </c>
      <c r="AL12" s="242">
        <v>9</v>
      </c>
      <c r="AM12" s="241"/>
      <c r="AN12" s="242"/>
      <c r="AO12" s="297">
        <v>9</v>
      </c>
      <c r="AP12" s="241"/>
      <c r="AQ12" s="301">
        <v>1</v>
      </c>
      <c r="AS12" s="445">
        <v>9</v>
      </c>
      <c r="AT12" s="242" t="s">
        <v>195</v>
      </c>
      <c r="AU12" s="241" t="s">
        <v>787</v>
      </c>
      <c r="AV12" s="242">
        <v>2</v>
      </c>
      <c r="AW12" s="241" t="s">
        <v>331</v>
      </c>
      <c r="AX12" s="242">
        <v>5</v>
      </c>
      <c r="AY12" s="297">
        <v>7</v>
      </c>
      <c r="AZ12" s="243" t="s">
        <v>457</v>
      </c>
      <c r="BA12" s="302">
        <v>1</v>
      </c>
      <c r="BE12" s="296"/>
      <c r="BG12" s="296"/>
    </row>
    <row r="13" spans="1:59" s="255" customFormat="1" ht="12.5" x14ac:dyDescent="0.25">
      <c r="B13" s="304">
        <v>10</v>
      </c>
      <c r="C13" s="238">
        <v>1</v>
      </c>
      <c r="D13" s="244">
        <v>7</v>
      </c>
      <c r="E13" s="254">
        <v>4</v>
      </c>
      <c r="F13" s="358">
        <v>5</v>
      </c>
      <c r="G13" s="358">
        <v>1</v>
      </c>
      <c r="H13" s="358">
        <v>2</v>
      </c>
      <c r="I13" s="254">
        <v>5</v>
      </c>
      <c r="J13" s="358">
        <v>3</v>
      </c>
      <c r="K13" s="371">
        <v>5</v>
      </c>
      <c r="L13" s="358">
        <v>2</v>
      </c>
      <c r="M13" s="371">
        <v>6</v>
      </c>
      <c r="N13" s="358">
        <v>5</v>
      </c>
      <c r="O13" s="371">
        <v>5</v>
      </c>
      <c r="P13" s="373">
        <v>3</v>
      </c>
      <c r="Q13" s="371">
        <v>8</v>
      </c>
      <c r="R13" s="358">
        <v>7</v>
      </c>
      <c r="S13" s="358"/>
      <c r="T13" s="373">
        <v>6</v>
      </c>
      <c r="U13" s="358">
        <v>5</v>
      </c>
      <c r="V13" s="358"/>
      <c r="W13" s="439">
        <v>2</v>
      </c>
      <c r="X13" s="439">
        <v>1</v>
      </c>
      <c r="Y13" s="439">
        <v>1</v>
      </c>
      <c r="Z13" s="439"/>
      <c r="AA13" s="254">
        <v>6</v>
      </c>
      <c r="AB13" s="254">
        <v>2</v>
      </c>
      <c r="AC13" s="254">
        <v>8</v>
      </c>
      <c r="AD13" s="358">
        <v>6</v>
      </c>
      <c r="AI13" s="300">
        <v>10</v>
      </c>
      <c r="AJ13" s="240" t="s">
        <v>123</v>
      </c>
      <c r="AK13" s="241" t="s">
        <v>331</v>
      </c>
      <c r="AL13" s="242">
        <v>8</v>
      </c>
      <c r="AM13" s="241"/>
      <c r="AN13" s="242"/>
      <c r="AO13" s="297">
        <v>8</v>
      </c>
      <c r="AP13" s="241"/>
      <c r="AQ13" s="301">
        <v>1</v>
      </c>
      <c r="AS13" s="445">
        <v>10</v>
      </c>
      <c r="AT13" s="242" t="s">
        <v>196</v>
      </c>
      <c r="AU13" s="241" t="s">
        <v>787</v>
      </c>
      <c r="AV13" s="242">
        <v>5</v>
      </c>
      <c r="AW13" s="241" t="s">
        <v>331</v>
      </c>
      <c r="AX13" s="242">
        <v>1</v>
      </c>
      <c r="AY13" s="297">
        <v>6</v>
      </c>
      <c r="AZ13" s="243" t="s">
        <v>457</v>
      </c>
      <c r="BA13" s="302">
        <v>1</v>
      </c>
      <c r="BE13" s="296"/>
      <c r="BG13" s="296"/>
    </row>
    <row r="14" spans="1:59" s="255" customFormat="1" ht="12.5" x14ac:dyDescent="0.25">
      <c r="B14" s="304">
        <v>11</v>
      </c>
      <c r="C14" s="244">
        <v>8</v>
      </c>
      <c r="D14" s="244">
        <v>1</v>
      </c>
      <c r="E14" s="254">
        <v>4</v>
      </c>
      <c r="F14" s="358">
        <v>6</v>
      </c>
      <c r="G14" s="358">
        <v>2</v>
      </c>
      <c r="H14" s="358"/>
      <c r="I14" s="254">
        <v>3</v>
      </c>
      <c r="J14" s="358">
        <v>6</v>
      </c>
      <c r="K14" s="371">
        <v>3</v>
      </c>
      <c r="L14" s="358"/>
      <c r="M14" s="371">
        <v>5</v>
      </c>
      <c r="N14" s="358">
        <v>7</v>
      </c>
      <c r="O14" s="371">
        <v>4</v>
      </c>
      <c r="P14" s="373">
        <v>4</v>
      </c>
      <c r="Q14" s="371">
        <v>5</v>
      </c>
      <c r="R14" s="358">
        <v>7</v>
      </c>
      <c r="S14" s="358"/>
      <c r="T14" s="373"/>
      <c r="U14" s="358">
        <v>4</v>
      </c>
      <c r="V14" s="358">
        <v>7</v>
      </c>
      <c r="W14" s="439">
        <v>1</v>
      </c>
      <c r="X14" s="439">
        <v>1</v>
      </c>
      <c r="Y14" s="440">
        <v>2</v>
      </c>
      <c r="Z14" s="439">
        <v>1</v>
      </c>
      <c r="AA14" s="254">
        <v>3</v>
      </c>
      <c r="AB14" s="254">
        <v>5</v>
      </c>
      <c r="AC14" s="254">
        <v>7</v>
      </c>
      <c r="AD14" s="358">
        <v>7</v>
      </c>
      <c r="AI14" s="300">
        <v>11</v>
      </c>
      <c r="AJ14" s="240" t="s">
        <v>173</v>
      </c>
      <c r="AK14" s="241" t="s">
        <v>331</v>
      </c>
      <c r="AL14" s="242">
        <v>7</v>
      </c>
      <c r="AM14" s="241"/>
      <c r="AN14" s="242"/>
      <c r="AO14" s="297">
        <v>7</v>
      </c>
      <c r="AP14" s="241"/>
      <c r="AQ14" s="301">
        <v>1</v>
      </c>
      <c r="AS14" s="445">
        <v>11</v>
      </c>
      <c r="AT14" s="242" t="s">
        <v>197</v>
      </c>
      <c r="AU14" s="241" t="s">
        <v>331</v>
      </c>
      <c r="AV14" s="242">
        <v>7</v>
      </c>
      <c r="AW14" s="241"/>
      <c r="AX14" s="242"/>
      <c r="AY14" s="297">
        <v>7</v>
      </c>
      <c r="AZ14" s="243"/>
      <c r="BA14" s="302">
        <v>1</v>
      </c>
      <c r="BE14" s="296"/>
      <c r="BG14" s="296"/>
    </row>
    <row r="15" spans="1:59" s="255" customFormat="1" ht="12.5" x14ac:dyDescent="0.25">
      <c r="B15" s="304">
        <v>12</v>
      </c>
      <c r="C15" s="238">
        <v>5</v>
      </c>
      <c r="D15" s="238">
        <v>1</v>
      </c>
      <c r="E15" s="254">
        <v>4</v>
      </c>
      <c r="F15" s="358">
        <v>5</v>
      </c>
      <c r="G15" s="358">
        <v>2</v>
      </c>
      <c r="H15" s="358">
        <v>2</v>
      </c>
      <c r="I15" s="254">
        <v>4</v>
      </c>
      <c r="J15" s="358">
        <v>6</v>
      </c>
      <c r="K15" s="371">
        <v>1</v>
      </c>
      <c r="L15" s="358">
        <v>4</v>
      </c>
      <c r="M15" s="371">
        <v>4</v>
      </c>
      <c r="N15" s="358">
        <v>5</v>
      </c>
      <c r="O15" s="371">
        <v>3</v>
      </c>
      <c r="P15" s="371">
        <v>1</v>
      </c>
      <c r="Q15" s="371">
        <v>5</v>
      </c>
      <c r="R15" s="358">
        <v>1</v>
      </c>
      <c r="S15" s="358">
        <v>4</v>
      </c>
      <c r="T15" s="373">
        <v>3</v>
      </c>
      <c r="U15" s="358">
        <v>4</v>
      </c>
      <c r="V15" s="358"/>
      <c r="W15" s="439"/>
      <c r="X15" s="439"/>
      <c r="Y15" s="440">
        <v>1</v>
      </c>
      <c r="Z15" s="439"/>
      <c r="AA15" s="254">
        <v>4</v>
      </c>
      <c r="AB15" s="254">
        <v>6</v>
      </c>
      <c r="AC15" s="254">
        <v>9</v>
      </c>
      <c r="AD15" s="358">
        <v>6</v>
      </c>
      <c r="AI15" s="300">
        <v>12</v>
      </c>
      <c r="AJ15" s="240" t="s">
        <v>126</v>
      </c>
      <c r="AK15" s="241" t="s">
        <v>331</v>
      </c>
      <c r="AL15" s="242">
        <v>9</v>
      </c>
      <c r="AM15" s="241" t="s">
        <v>788</v>
      </c>
      <c r="AN15" s="242">
        <v>5</v>
      </c>
      <c r="AO15" s="297">
        <v>9</v>
      </c>
      <c r="AP15" s="241" t="s">
        <v>458</v>
      </c>
      <c r="AQ15" s="301">
        <v>2</v>
      </c>
      <c r="AS15" s="445">
        <v>12</v>
      </c>
      <c r="AT15" s="242" t="s">
        <v>198</v>
      </c>
      <c r="AU15" s="241" t="s">
        <v>788</v>
      </c>
      <c r="AV15" s="242">
        <v>2</v>
      </c>
      <c r="AW15" s="241" t="s">
        <v>331</v>
      </c>
      <c r="AX15" s="242">
        <v>4</v>
      </c>
      <c r="AY15" s="297">
        <v>6</v>
      </c>
      <c r="AZ15" s="243" t="s">
        <v>457</v>
      </c>
      <c r="BA15" s="302">
        <v>1</v>
      </c>
      <c r="BE15" s="296"/>
      <c r="BG15" s="296"/>
    </row>
    <row r="16" spans="1:59" s="255" customFormat="1" ht="12.5" x14ac:dyDescent="0.25">
      <c r="B16" s="304">
        <v>13</v>
      </c>
      <c r="C16" s="238">
        <v>4</v>
      </c>
      <c r="D16" s="238">
        <v>1</v>
      </c>
      <c r="E16" s="254">
        <v>6</v>
      </c>
      <c r="F16" s="358">
        <v>4</v>
      </c>
      <c r="G16" s="358"/>
      <c r="H16" s="358"/>
      <c r="I16" s="254">
        <v>4</v>
      </c>
      <c r="J16" s="358">
        <v>3</v>
      </c>
      <c r="K16" s="371">
        <v>5</v>
      </c>
      <c r="L16" s="358">
        <v>2</v>
      </c>
      <c r="M16" s="371">
        <v>4</v>
      </c>
      <c r="N16" s="358">
        <v>3</v>
      </c>
      <c r="O16" s="371">
        <v>6</v>
      </c>
      <c r="P16" s="371">
        <v>3</v>
      </c>
      <c r="Q16" s="371">
        <v>5</v>
      </c>
      <c r="R16" s="358">
        <v>3</v>
      </c>
      <c r="S16" s="358"/>
      <c r="T16" s="373">
        <v>3</v>
      </c>
      <c r="U16" s="358"/>
      <c r="V16" s="358">
        <v>3</v>
      </c>
      <c r="W16" s="439"/>
      <c r="X16" s="439">
        <v>1</v>
      </c>
      <c r="Y16" s="440">
        <v>1</v>
      </c>
      <c r="Z16" s="439">
        <v>1</v>
      </c>
      <c r="AA16" s="254">
        <v>9</v>
      </c>
      <c r="AB16" s="254">
        <v>3</v>
      </c>
      <c r="AC16" s="254">
        <v>9</v>
      </c>
      <c r="AD16" s="358">
        <v>4</v>
      </c>
      <c r="AI16" s="300">
        <v>13</v>
      </c>
      <c r="AJ16" s="240" t="s">
        <v>130</v>
      </c>
      <c r="AK16" s="241" t="s">
        <v>331</v>
      </c>
      <c r="AL16" s="242">
        <v>8</v>
      </c>
      <c r="AM16" s="241"/>
      <c r="AN16" s="242"/>
      <c r="AO16" s="297">
        <v>8</v>
      </c>
      <c r="AP16" s="241"/>
      <c r="AQ16" s="301">
        <v>1</v>
      </c>
      <c r="AS16" s="445">
        <v>13</v>
      </c>
      <c r="AT16" s="242" t="s">
        <v>199</v>
      </c>
      <c r="AU16" s="241" t="s">
        <v>331</v>
      </c>
      <c r="AV16" s="242">
        <v>4</v>
      </c>
      <c r="AW16" s="241"/>
      <c r="AX16" s="242"/>
      <c r="AY16" s="297">
        <v>4</v>
      </c>
      <c r="AZ16" s="243"/>
      <c r="BA16" s="302">
        <v>1</v>
      </c>
      <c r="BE16" s="296"/>
      <c r="BG16" s="296"/>
    </row>
    <row r="17" spans="2:59" s="255" customFormat="1" ht="12.5" x14ac:dyDescent="0.25">
      <c r="B17" s="304">
        <v>14</v>
      </c>
      <c r="C17" s="238">
        <v>2</v>
      </c>
      <c r="D17" s="238">
        <v>1</v>
      </c>
      <c r="E17" s="254">
        <v>5</v>
      </c>
      <c r="F17" s="358">
        <v>7</v>
      </c>
      <c r="G17" s="358">
        <v>2</v>
      </c>
      <c r="H17" s="361"/>
      <c r="I17" s="254">
        <v>4</v>
      </c>
      <c r="J17" s="358"/>
      <c r="K17" s="371">
        <v>5</v>
      </c>
      <c r="L17" s="358"/>
      <c r="M17" s="371">
        <v>4</v>
      </c>
      <c r="N17" s="358">
        <v>4</v>
      </c>
      <c r="O17" s="371">
        <v>5</v>
      </c>
      <c r="P17" s="371">
        <v>6</v>
      </c>
      <c r="Q17" s="371">
        <v>5</v>
      </c>
      <c r="R17" s="358">
        <v>5</v>
      </c>
      <c r="S17" s="358"/>
      <c r="T17" s="371"/>
      <c r="U17" s="358"/>
      <c r="V17" s="358"/>
      <c r="W17" s="439"/>
      <c r="X17" s="439">
        <v>1</v>
      </c>
      <c r="Y17" s="439"/>
      <c r="Z17" s="439"/>
      <c r="AA17" s="254">
        <v>3</v>
      </c>
      <c r="AB17" s="250"/>
      <c r="AC17" s="254">
        <v>5</v>
      </c>
      <c r="AD17" s="358">
        <v>8</v>
      </c>
      <c r="AI17" s="300">
        <v>14</v>
      </c>
      <c r="AJ17" s="240" t="s">
        <v>132</v>
      </c>
      <c r="AK17" s="241" t="s">
        <v>787</v>
      </c>
      <c r="AL17" s="242">
        <v>5</v>
      </c>
      <c r="AM17" s="241"/>
      <c r="AN17" s="242"/>
      <c r="AO17" s="297">
        <v>5</v>
      </c>
      <c r="AP17" s="241"/>
      <c r="AQ17" s="301">
        <v>1</v>
      </c>
      <c r="AS17" s="445">
        <v>14</v>
      </c>
      <c r="AT17" s="242" t="s">
        <v>200</v>
      </c>
      <c r="AU17" s="241" t="s">
        <v>331</v>
      </c>
      <c r="AV17" s="242">
        <v>8</v>
      </c>
      <c r="AW17" s="241"/>
      <c r="AX17" s="242"/>
      <c r="AY17" s="297">
        <v>8</v>
      </c>
      <c r="AZ17" s="243"/>
      <c r="BA17" s="302">
        <v>1</v>
      </c>
      <c r="BE17" s="296"/>
      <c r="BG17" s="296"/>
    </row>
    <row r="18" spans="2:59" s="255" customFormat="1" ht="12.5" x14ac:dyDescent="0.25">
      <c r="B18" s="304">
        <v>15</v>
      </c>
      <c r="C18" s="238">
        <v>2</v>
      </c>
      <c r="D18" s="238">
        <v>4</v>
      </c>
      <c r="E18" s="254">
        <v>5</v>
      </c>
      <c r="F18" s="358">
        <v>7</v>
      </c>
      <c r="G18" s="358"/>
      <c r="H18" s="358">
        <v>1</v>
      </c>
      <c r="I18" s="254">
        <v>4</v>
      </c>
      <c r="J18" s="358"/>
      <c r="K18" s="374">
        <v>4</v>
      </c>
      <c r="L18" s="358"/>
      <c r="M18" s="374">
        <v>5</v>
      </c>
      <c r="N18" s="358">
        <v>4</v>
      </c>
      <c r="O18" s="371">
        <v>6</v>
      </c>
      <c r="P18" s="373">
        <v>7</v>
      </c>
      <c r="Q18" s="371">
        <v>6</v>
      </c>
      <c r="R18" s="358">
        <v>7</v>
      </c>
      <c r="S18" s="358"/>
      <c r="T18" s="373"/>
      <c r="U18" s="358">
        <v>5</v>
      </c>
      <c r="V18" s="358"/>
      <c r="W18" s="439"/>
      <c r="X18" s="439">
        <v>1</v>
      </c>
      <c r="Y18" s="439"/>
      <c r="Z18" s="439">
        <v>1</v>
      </c>
      <c r="AA18" s="254">
        <v>5</v>
      </c>
      <c r="AB18" s="254"/>
      <c r="AC18" s="254">
        <v>7</v>
      </c>
      <c r="AD18" s="358">
        <v>7</v>
      </c>
      <c r="AI18" s="300">
        <v>15</v>
      </c>
      <c r="AJ18" s="240" t="s">
        <v>135</v>
      </c>
      <c r="AK18" s="241" t="s">
        <v>331</v>
      </c>
      <c r="AL18" s="242">
        <v>7</v>
      </c>
      <c r="AM18" s="241"/>
      <c r="AN18" s="242"/>
      <c r="AO18" s="297">
        <v>7</v>
      </c>
      <c r="AP18" s="241"/>
      <c r="AQ18" s="301">
        <v>1</v>
      </c>
      <c r="AS18" s="445">
        <v>15</v>
      </c>
      <c r="AT18" s="242" t="s">
        <v>201</v>
      </c>
      <c r="AU18" s="241" t="s">
        <v>331</v>
      </c>
      <c r="AV18" s="242">
        <v>7</v>
      </c>
      <c r="AW18" s="241" t="s">
        <v>335</v>
      </c>
      <c r="AX18" s="242">
        <v>7</v>
      </c>
      <c r="AY18" s="297">
        <v>7</v>
      </c>
      <c r="AZ18" s="243" t="s">
        <v>458</v>
      </c>
      <c r="BA18" s="302">
        <v>2</v>
      </c>
      <c r="BE18" s="296"/>
      <c r="BG18" s="296"/>
    </row>
    <row r="19" spans="2:59" s="255" customFormat="1" ht="12.5" x14ac:dyDescent="0.25">
      <c r="B19" s="304">
        <v>16</v>
      </c>
      <c r="C19" s="238">
        <v>5</v>
      </c>
      <c r="D19" s="238">
        <v>3</v>
      </c>
      <c r="E19" s="254">
        <v>6</v>
      </c>
      <c r="F19" s="358">
        <v>3</v>
      </c>
      <c r="G19" s="358">
        <v>3</v>
      </c>
      <c r="H19" s="358"/>
      <c r="I19" s="254">
        <v>5</v>
      </c>
      <c r="J19" s="358">
        <v>3</v>
      </c>
      <c r="K19" s="375">
        <v>4</v>
      </c>
      <c r="L19" s="358">
        <v>6</v>
      </c>
      <c r="M19" s="375">
        <v>4</v>
      </c>
      <c r="N19" s="358">
        <v>3</v>
      </c>
      <c r="O19" s="371">
        <v>6</v>
      </c>
      <c r="P19" s="371">
        <v>6</v>
      </c>
      <c r="Q19" s="371">
        <v>6</v>
      </c>
      <c r="R19" s="358">
        <v>5</v>
      </c>
      <c r="S19" s="358"/>
      <c r="T19" s="373"/>
      <c r="U19" s="358">
        <v>6</v>
      </c>
      <c r="V19" s="358"/>
      <c r="W19" s="439">
        <v>1</v>
      </c>
      <c r="X19" s="439"/>
      <c r="Y19" s="440">
        <v>2</v>
      </c>
      <c r="Z19" s="439"/>
      <c r="AA19" s="254">
        <v>5</v>
      </c>
      <c r="AB19" s="254">
        <v>3</v>
      </c>
      <c r="AC19" s="254">
        <v>6</v>
      </c>
      <c r="AD19" s="358">
        <v>7</v>
      </c>
      <c r="AI19" s="300">
        <v>16</v>
      </c>
      <c r="AJ19" s="240" t="s">
        <v>138</v>
      </c>
      <c r="AK19" s="241" t="s">
        <v>331</v>
      </c>
      <c r="AL19" s="242">
        <v>6</v>
      </c>
      <c r="AM19" s="241"/>
      <c r="AN19" s="242"/>
      <c r="AO19" s="297">
        <v>6</v>
      </c>
      <c r="AP19" s="241"/>
      <c r="AQ19" s="301">
        <v>1</v>
      </c>
      <c r="AS19" s="445">
        <v>16</v>
      </c>
      <c r="AT19" s="242" t="s">
        <v>202</v>
      </c>
      <c r="AU19" s="241" t="s">
        <v>331</v>
      </c>
      <c r="AV19" s="242">
        <v>7</v>
      </c>
      <c r="AW19" s="241" t="s">
        <v>788</v>
      </c>
      <c r="AX19" s="242">
        <v>7</v>
      </c>
      <c r="AY19" s="297">
        <v>7</v>
      </c>
      <c r="AZ19" s="243" t="s">
        <v>458</v>
      </c>
      <c r="BA19" s="302">
        <v>2</v>
      </c>
      <c r="BE19" s="296"/>
      <c r="BG19" s="296"/>
    </row>
    <row r="20" spans="2:59" s="255" customFormat="1" ht="12.5" x14ac:dyDescent="0.25">
      <c r="B20" s="304">
        <v>17</v>
      </c>
      <c r="C20" s="238">
        <v>3</v>
      </c>
      <c r="D20" s="238">
        <v>5</v>
      </c>
      <c r="E20" s="254">
        <v>3</v>
      </c>
      <c r="F20" s="358">
        <v>3</v>
      </c>
      <c r="G20" s="358">
        <v>2</v>
      </c>
      <c r="H20" s="358">
        <v>3</v>
      </c>
      <c r="I20" s="254"/>
      <c r="J20" s="358">
        <v>1</v>
      </c>
      <c r="K20" s="375"/>
      <c r="L20" s="358">
        <v>3</v>
      </c>
      <c r="M20" s="375">
        <v>3</v>
      </c>
      <c r="N20" s="358">
        <v>2</v>
      </c>
      <c r="O20" s="371">
        <v>3</v>
      </c>
      <c r="P20" s="371">
        <v>3</v>
      </c>
      <c r="Q20" s="371">
        <v>3</v>
      </c>
      <c r="R20" s="358">
        <v>3</v>
      </c>
      <c r="S20" s="358"/>
      <c r="T20" s="373"/>
      <c r="U20" s="358"/>
      <c r="V20" s="358"/>
      <c r="W20" s="439">
        <v>1</v>
      </c>
      <c r="X20" s="439">
        <v>1</v>
      </c>
      <c r="Y20" s="440"/>
      <c r="Z20" s="439"/>
      <c r="AA20" s="254"/>
      <c r="AB20" s="254">
        <v>2</v>
      </c>
      <c r="AC20" s="254">
        <v>5</v>
      </c>
      <c r="AD20" s="366">
        <v>4</v>
      </c>
      <c r="AI20" s="300">
        <v>17</v>
      </c>
      <c r="AJ20" s="240" t="s">
        <v>141</v>
      </c>
      <c r="AK20" s="241" t="s">
        <v>331</v>
      </c>
      <c r="AL20" s="242">
        <v>5</v>
      </c>
      <c r="AM20" s="241"/>
      <c r="AN20" s="242"/>
      <c r="AO20" s="297">
        <v>5</v>
      </c>
      <c r="AP20" s="241"/>
      <c r="AQ20" s="301">
        <v>1</v>
      </c>
      <c r="AS20" s="445">
        <v>17</v>
      </c>
      <c r="AT20" s="242" t="s">
        <v>203</v>
      </c>
      <c r="AU20" s="241" t="s">
        <v>331</v>
      </c>
      <c r="AV20" s="242">
        <v>4</v>
      </c>
      <c r="AW20" s="241"/>
      <c r="AX20" s="242"/>
      <c r="AY20" s="297">
        <v>4</v>
      </c>
      <c r="AZ20" s="243"/>
      <c r="BA20" s="302">
        <v>1</v>
      </c>
      <c r="BE20" s="296"/>
      <c r="BG20" s="296"/>
    </row>
    <row r="21" spans="2:59" s="255" customFormat="1" ht="12.5" x14ac:dyDescent="0.25">
      <c r="B21" s="304">
        <v>18</v>
      </c>
      <c r="C21" s="245">
        <v>11</v>
      </c>
      <c r="D21" s="238">
        <v>3</v>
      </c>
      <c r="E21" s="254">
        <v>6</v>
      </c>
      <c r="F21" s="358">
        <v>4</v>
      </c>
      <c r="G21" s="358">
        <v>3</v>
      </c>
      <c r="H21" s="358">
        <v>2</v>
      </c>
      <c r="I21" s="254">
        <v>5</v>
      </c>
      <c r="J21" s="358">
        <v>3</v>
      </c>
      <c r="K21" s="375">
        <v>5</v>
      </c>
      <c r="L21" s="358"/>
      <c r="M21" s="375">
        <v>5</v>
      </c>
      <c r="N21" s="358">
        <v>4</v>
      </c>
      <c r="O21" s="371">
        <v>6</v>
      </c>
      <c r="P21" s="373">
        <v>3</v>
      </c>
      <c r="Q21" s="371">
        <v>7</v>
      </c>
      <c r="R21" s="358">
        <v>5</v>
      </c>
      <c r="S21" s="358"/>
      <c r="T21" s="373"/>
      <c r="U21" s="358">
        <v>7</v>
      </c>
      <c r="V21" s="358"/>
      <c r="W21" s="439"/>
      <c r="X21" s="439">
        <v>1</v>
      </c>
      <c r="Y21" s="440"/>
      <c r="Z21" s="439">
        <v>1</v>
      </c>
      <c r="AA21" s="254">
        <v>5</v>
      </c>
      <c r="AB21" s="254">
        <v>2</v>
      </c>
      <c r="AC21" s="254">
        <v>7</v>
      </c>
      <c r="AD21" s="358">
        <v>5</v>
      </c>
      <c r="AI21" s="300">
        <v>18</v>
      </c>
      <c r="AJ21" s="240" t="s">
        <v>144</v>
      </c>
      <c r="AK21" s="241" t="s">
        <v>331</v>
      </c>
      <c r="AL21" s="242">
        <v>7</v>
      </c>
      <c r="AM21" s="241"/>
      <c r="AN21" s="242"/>
      <c r="AO21" s="297">
        <v>7</v>
      </c>
      <c r="AP21" s="241"/>
      <c r="AQ21" s="301">
        <v>1</v>
      </c>
      <c r="AS21" s="445">
        <v>18</v>
      </c>
      <c r="AT21" s="242" t="s">
        <v>204</v>
      </c>
      <c r="AU21" s="241" t="s">
        <v>331</v>
      </c>
      <c r="AV21" s="242">
        <v>5</v>
      </c>
      <c r="AW21" s="241"/>
      <c r="AX21" s="242"/>
      <c r="AY21" s="297">
        <v>5</v>
      </c>
      <c r="AZ21" s="243"/>
      <c r="BA21" s="302">
        <v>1</v>
      </c>
      <c r="BE21" s="296"/>
      <c r="BG21" s="296"/>
    </row>
    <row r="22" spans="2:59" s="255" customFormat="1" ht="12.5" x14ac:dyDescent="0.25">
      <c r="B22" s="304">
        <v>19</v>
      </c>
      <c r="C22" s="246">
        <v>12</v>
      </c>
      <c r="D22" s="248">
        <v>3</v>
      </c>
      <c r="E22" s="254">
        <v>10</v>
      </c>
      <c r="F22" s="358">
        <v>7</v>
      </c>
      <c r="G22" s="358">
        <v>3</v>
      </c>
      <c r="H22" s="358">
        <v>1</v>
      </c>
      <c r="I22" s="254">
        <v>4</v>
      </c>
      <c r="J22" s="358">
        <v>3</v>
      </c>
      <c r="K22" s="375">
        <v>7</v>
      </c>
      <c r="L22" s="358">
        <v>4</v>
      </c>
      <c r="M22" s="375">
        <v>7</v>
      </c>
      <c r="N22" s="358">
        <v>6</v>
      </c>
      <c r="O22" s="371">
        <v>10</v>
      </c>
      <c r="P22" s="373">
        <v>7</v>
      </c>
      <c r="Q22" s="371">
        <v>10</v>
      </c>
      <c r="R22" s="358">
        <v>7</v>
      </c>
      <c r="S22" s="358"/>
      <c r="T22" s="373"/>
      <c r="U22" s="358"/>
      <c r="V22" s="358"/>
      <c r="W22" s="439">
        <v>1</v>
      </c>
      <c r="X22" s="439">
        <v>1</v>
      </c>
      <c r="Y22" s="439">
        <v>2</v>
      </c>
      <c r="Z22" s="439">
        <v>2</v>
      </c>
      <c r="AA22" s="254">
        <v>5</v>
      </c>
      <c r="AB22" s="254">
        <v>2</v>
      </c>
      <c r="AC22" s="254">
        <v>10</v>
      </c>
      <c r="AD22" s="358">
        <v>7</v>
      </c>
      <c r="AI22" s="300">
        <v>19</v>
      </c>
      <c r="AJ22" s="240" t="s">
        <v>145</v>
      </c>
      <c r="AK22" s="241" t="s">
        <v>331</v>
      </c>
      <c r="AL22" s="242">
        <v>10</v>
      </c>
      <c r="AM22" s="241" t="s">
        <v>788</v>
      </c>
      <c r="AN22" s="242">
        <v>11</v>
      </c>
      <c r="AO22" s="297">
        <v>11</v>
      </c>
      <c r="AP22" s="241" t="s">
        <v>458</v>
      </c>
      <c r="AQ22" s="301">
        <v>2</v>
      </c>
      <c r="AS22" s="445">
        <v>19</v>
      </c>
      <c r="AT22" s="242" t="s">
        <v>205</v>
      </c>
      <c r="AU22" s="241" t="s">
        <v>331</v>
      </c>
      <c r="AV22" s="242">
        <v>7</v>
      </c>
      <c r="AW22" s="241"/>
      <c r="AX22" s="242"/>
      <c r="AY22" s="297">
        <v>7</v>
      </c>
      <c r="AZ22" s="243"/>
      <c r="BA22" s="302">
        <v>1</v>
      </c>
      <c r="BE22" s="296"/>
      <c r="BG22" s="296"/>
    </row>
    <row r="23" spans="2:59" s="255" customFormat="1" ht="12.5" x14ac:dyDescent="0.25">
      <c r="B23" s="304">
        <v>20</v>
      </c>
      <c r="C23" s="246">
        <v>1</v>
      </c>
      <c r="D23" s="238">
        <v>3</v>
      </c>
      <c r="E23" s="254">
        <v>5</v>
      </c>
      <c r="F23" s="358">
        <v>5</v>
      </c>
      <c r="G23" s="358"/>
      <c r="H23" s="358"/>
      <c r="I23" s="254">
        <v>4</v>
      </c>
      <c r="J23" s="358">
        <v>4</v>
      </c>
      <c r="K23" s="375">
        <v>4</v>
      </c>
      <c r="L23" s="358">
        <v>4</v>
      </c>
      <c r="M23" s="375">
        <v>4</v>
      </c>
      <c r="N23" s="358">
        <v>4</v>
      </c>
      <c r="O23" s="371">
        <v>5</v>
      </c>
      <c r="P23" s="373">
        <v>4</v>
      </c>
      <c r="Q23" s="375">
        <v>4</v>
      </c>
      <c r="R23" s="358">
        <v>5</v>
      </c>
      <c r="S23" s="358"/>
      <c r="T23" s="373">
        <v>4</v>
      </c>
      <c r="U23" s="358"/>
      <c r="V23" s="358"/>
      <c r="W23" s="439">
        <v>3</v>
      </c>
      <c r="X23" s="439">
        <v>1</v>
      </c>
      <c r="Y23" s="439">
        <v>3</v>
      </c>
      <c r="Z23" s="439">
        <v>2</v>
      </c>
      <c r="AA23" s="254">
        <v>3</v>
      </c>
      <c r="AB23" s="254">
        <v>3</v>
      </c>
      <c r="AC23" s="254">
        <v>6</v>
      </c>
      <c r="AD23" s="358">
        <v>5</v>
      </c>
      <c r="AI23" s="300">
        <v>20</v>
      </c>
      <c r="AJ23" s="240" t="s">
        <v>146</v>
      </c>
      <c r="AK23" s="241" t="s">
        <v>331</v>
      </c>
      <c r="AL23" s="242">
        <v>6</v>
      </c>
      <c r="AM23" s="241"/>
      <c r="AN23" s="242"/>
      <c r="AO23" s="297">
        <v>6</v>
      </c>
      <c r="AP23" s="241"/>
      <c r="AQ23" s="301">
        <v>1</v>
      </c>
      <c r="AS23" s="445">
        <v>20</v>
      </c>
      <c r="AT23" s="242" t="s">
        <v>206</v>
      </c>
      <c r="AU23" s="241" t="s">
        <v>331</v>
      </c>
      <c r="AV23" s="242">
        <v>5</v>
      </c>
      <c r="AW23" s="241"/>
      <c r="AX23" s="242"/>
      <c r="AY23" s="297">
        <v>5</v>
      </c>
      <c r="AZ23" s="243"/>
      <c r="BA23" s="302">
        <v>1</v>
      </c>
      <c r="BE23" s="296"/>
      <c r="BG23" s="296"/>
    </row>
    <row r="24" spans="2:59" s="255" customFormat="1" ht="12.5" x14ac:dyDescent="0.25">
      <c r="B24" s="304">
        <v>21</v>
      </c>
      <c r="C24" s="238">
        <v>2</v>
      </c>
      <c r="D24" s="238">
        <v>18</v>
      </c>
      <c r="E24" s="254">
        <v>7</v>
      </c>
      <c r="F24" s="358">
        <v>4</v>
      </c>
      <c r="G24" s="358">
        <v>1</v>
      </c>
      <c r="H24" s="358">
        <v>2</v>
      </c>
      <c r="I24" s="254">
        <v>1</v>
      </c>
      <c r="J24" s="358">
        <v>3</v>
      </c>
      <c r="K24" s="375"/>
      <c r="L24" s="358">
        <v>3</v>
      </c>
      <c r="M24" s="375">
        <v>4</v>
      </c>
      <c r="N24" s="358">
        <v>8</v>
      </c>
      <c r="O24" s="371">
        <v>6</v>
      </c>
      <c r="P24" s="373">
        <v>8</v>
      </c>
      <c r="Q24" s="371">
        <v>6</v>
      </c>
      <c r="R24" s="358">
        <v>3</v>
      </c>
      <c r="S24" s="358"/>
      <c r="T24" s="373"/>
      <c r="U24" s="358"/>
      <c r="V24" s="358">
        <v>3</v>
      </c>
      <c r="W24" s="439">
        <v>1</v>
      </c>
      <c r="X24" s="439">
        <v>3</v>
      </c>
      <c r="Y24" s="439"/>
      <c r="Z24" s="439">
        <v>3</v>
      </c>
      <c r="AA24" s="254">
        <v>1</v>
      </c>
      <c r="AB24" s="254">
        <v>2</v>
      </c>
      <c r="AC24" s="254">
        <v>10</v>
      </c>
      <c r="AD24" s="366">
        <v>3</v>
      </c>
      <c r="AI24" s="300">
        <v>21</v>
      </c>
      <c r="AJ24" s="240" t="s">
        <v>147</v>
      </c>
      <c r="AK24" s="241" t="s">
        <v>331</v>
      </c>
      <c r="AL24" s="242">
        <v>10</v>
      </c>
      <c r="AM24" s="241" t="s">
        <v>335</v>
      </c>
      <c r="AN24" s="242">
        <v>6</v>
      </c>
      <c r="AO24" s="297">
        <v>10</v>
      </c>
      <c r="AP24" s="241" t="s">
        <v>458</v>
      </c>
      <c r="AQ24" s="301">
        <v>2</v>
      </c>
      <c r="AS24" s="445">
        <v>21</v>
      </c>
      <c r="AT24" s="242" t="s">
        <v>207</v>
      </c>
      <c r="AU24" s="241" t="s">
        <v>331</v>
      </c>
      <c r="AV24" s="242">
        <v>3</v>
      </c>
      <c r="AW24" s="241" t="s">
        <v>335</v>
      </c>
      <c r="AX24" s="242">
        <v>3</v>
      </c>
      <c r="AY24" s="297">
        <v>3</v>
      </c>
      <c r="AZ24" s="243" t="s">
        <v>458</v>
      </c>
      <c r="BA24" s="302">
        <v>2</v>
      </c>
      <c r="BE24" s="296"/>
      <c r="BG24" s="296"/>
    </row>
    <row r="25" spans="2:59" s="255" customFormat="1" ht="12.5" x14ac:dyDescent="0.25">
      <c r="B25" s="304">
        <v>22</v>
      </c>
      <c r="C25" s="238">
        <v>3</v>
      </c>
      <c r="D25" s="238">
        <v>4</v>
      </c>
      <c r="E25" s="254">
        <v>7</v>
      </c>
      <c r="F25" s="358">
        <v>4</v>
      </c>
      <c r="G25" s="358">
        <v>2</v>
      </c>
      <c r="H25" s="358">
        <v>1</v>
      </c>
      <c r="I25" s="254">
        <v>5</v>
      </c>
      <c r="J25" s="358">
        <v>3</v>
      </c>
      <c r="K25" s="375">
        <v>3</v>
      </c>
      <c r="L25" s="358">
        <v>4</v>
      </c>
      <c r="M25" s="375">
        <v>7</v>
      </c>
      <c r="N25" s="358">
        <v>8</v>
      </c>
      <c r="O25" s="371">
        <v>6</v>
      </c>
      <c r="P25" s="373">
        <v>4</v>
      </c>
      <c r="Q25" s="371">
        <v>8</v>
      </c>
      <c r="R25" s="358">
        <v>6</v>
      </c>
      <c r="S25" s="358">
        <v>7</v>
      </c>
      <c r="T25" s="373"/>
      <c r="U25" s="358">
        <v>7</v>
      </c>
      <c r="V25" s="358">
        <v>2</v>
      </c>
      <c r="W25" s="439">
        <v>1</v>
      </c>
      <c r="X25" s="439">
        <v>1</v>
      </c>
      <c r="Y25" s="440">
        <v>2</v>
      </c>
      <c r="Z25" s="439">
        <v>1</v>
      </c>
      <c r="AA25" s="254">
        <v>4</v>
      </c>
      <c r="AB25" s="254">
        <v>3</v>
      </c>
      <c r="AC25" s="254">
        <v>8</v>
      </c>
      <c r="AD25" s="358">
        <v>8</v>
      </c>
      <c r="AI25" s="300">
        <v>22</v>
      </c>
      <c r="AJ25" s="240" t="s">
        <v>148</v>
      </c>
      <c r="AK25" s="241" t="s">
        <v>331</v>
      </c>
      <c r="AL25" s="242">
        <v>8</v>
      </c>
      <c r="AM25" s="241"/>
      <c r="AN25" s="242"/>
      <c r="AO25" s="297">
        <v>8</v>
      </c>
      <c r="AP25" s="241"/>
      <c r="AQ25" s="301">
        <v>1</v>
      </c>
      <c r="AS25" s="445">
        <v>22</v>
      </c>
      <c r="AT25" s="242" t="s">
        <v>208</v>
      </c>
      <c r="AU25" s="241" t="s">
        <v>331</v>
      </c>
      <c r="AV25" s="242">
        <v>8</v>
      </c>
      <c r="AW25" s="241"/>
      <c r="AX25" s="242"/>
      <c r="AY25" s="297">
        <v>8</v>
      </c>
      <c r="AZ25" s="243"/>
      <c r="BA25" s="302">
        <v>1</v>
      </c>
      <c r="BE25" s="296"/>
      <c r="BG25" s="296"/>
    </row>
    <row r="26" spans="2:59" s="255" customFormat="1" ht="12.5" x14ac:dyDescent="0.25">
      <c r="B26" s="304">
        <v>23</v>
      </c>
      <c r="C26" s="238">
        <v>12</v>
      </c>
      <c r="D26" s="238">
        <v>4</v>
      </c>
      <c r="E26" s="254">
        <v>5</v>
      </c>
      <c r="F26" s="358">
        <v>3</v>
      </c>
      <c r="G26" s="358"/>
      <c r="H26" s="358">
        <v>1</v>
      </c>
      <c r="I26" s="254">
        <v>3</v>
      </c>
      <c r="J26" s="358">
        <v>4</v>
      </c>
      <c r="K26" s="375">
        <v>5</v>
      </c>
      <c r="L26" s="358"/>
      <c r="M26" s="373">
        <v>5</v>
      </c>
      <c r="N26" s="358">
        <v>4</v>
      </c>
      <c r="O26" s="375">
        <v>5</v>
      </c>
      <c r="P26" s="373">
        <v>5</v>
      </c>
      <c r="Q26" s="375">
        <v>5</v>
      </c>
      <c r="R26" s="358">
        <v>4</v>
      </c>
      <c r="S26" s="358"/>
      <c r="T26" s="373"/>
      <c r="U26" s="358"/>
      <c r="V26" s="358">
        <v>2</v>
      </c>
      <c r="W26" s="439">
        <v>6</v>
      </c>
      <c r="X26" s="439">
        <v>1</v>
      </c>
      <c r="Y26" s="439">
        <v>3</v>
      </c>
      <c r="Z26" s="439">
        <v>3</v>
      </c>
      <c r="AA26" s="254">
        <v>1</v>
      </c>
      <c r="AB26" s="254">
        <v>3</v>
      </c>
      <c r="AC26" s="254">
        <v>6</v>
      </c>
      <c r="AD26" s="358">
        <v>6</v>
      </c>
      <c r="AI26" s="300">
        <v>23</v>
      </c>
      <c r="AJ26" s="240" t="s">
        <v>149</v>
      </c>
      <c r="AK26" s="241" t="s">
        <v>331</v>
      </c>
      <c r="AL26" s="242">
        <v>6</v>
      </c>
      <c r="AM26" s="241"/>
      <c r="AN26" s="242"/>
      <c r="AO26" s="297">
        <v>6</v>
      </c>
      <c r="AP26" s="241"/>
      <c r="AQ26" s="301">
        <v>1</v>
      </c>
      <c r="AS26" s="445">
        <v>23</v>
      </c>
      <c r="AT26" s="242" t="s">
        <v>209</v>
      </c>
      <c r="AU26" s="241" t="s">
        <v>331</v>
      </c>
      <c r="AV26" s="242">
        <v>6</v>
      </c>
      <c r="AW26" s="241" t="s">
        <v>788</v>
      </c>
      <c r="AX26" s="242">
        <v>2</v>
      </c>
      <c r="AY26" s="297">
        <v>6</v>
      </c>
      <c r="AZ26" s="243" t="s">
        <v>458</v>
      </c>
      <c r="BA26" s="302">
        <v>2</v>
      </c>
      <c r="BE26" s="296"/>
      <c r="BG26" s="296"/>
    </row>
    <row r="27" spans="2:59" s="255" customFormat="1" ht="12.5" x14ac:dyDescent="0.25">
      <c r="B27" s="304">
        <v>24</v>
      </c>
      <c r="C27" s="238">
        <v>6</v>
      </c>
      <c r="D27" s="238">
        <v>2</v>
      </c>
      <c r="E27" s="254">
        <v>3</v>
      </c>
      <c r="F27" s="358">
        <v>3</v>
      </c>
      <c r="G27" s="358"/>
      <c r="H27" s="358">
        <v>1</v>
      </c>
      <c r="I27" s="254">
        <v>3</v>
      </c>
      <c r="J27" s="358">
        <v>3</v>
      </c>
      <c r="K27" s="375">
        <v>4</v>
      </c>
      <c r="L27" s="358">
        <v>3</v>
      </c>
      <c r="M27" s="375">
        <v>3</v>
      </c>
      <c r="N27" s="358">
        <v>4</v>
      </c>
      <c r="O27" s="375">
        <v>3</v>
      </c>
      <c r="P27" s="373">
        <v>3</v>
      </c>
      <c r="Q27" s="375">
        <v>4</v>
      </c>
      <c r="R27" s="358">
        <v>5</v>
      </c>
      <c r="S27" s="358">
        <v>4</v>
      </c>
      <c r="T27" s="373"/>
      <c r="U27" s="358">
        <v>4</v>
      </c>
      <c r="V27" s="358"/>
      <c r="W27" s="439">
        <v>1</v>
      </c>
      <c r="X27" s="439"/>
      <c r="Y27" s="440">
        <v>1</v>
      </c>
      <c r="Z27" s="439"/>
      <c r="AA27" s="254">
        <v>3</v>
      </c>
      <c r="AB27" s="250">
        <v>2</v>
      </c>
      <c r="AC27" s="254">
        <v>4</v>
      </c>
      <c r="AD27" s="361">
        <v>5</v>
      </c>
      <c r="AI27" s="300">
        <v>24</v>
      </c>
      <c r="AJ27" s="240" t="s">
        <v>150</v>
      </c>
      <c r="AK27" s="241" t="s">
        <v>787</v>
      </c>
      <c r="AL27" s="242">
        <v>4</v>
      </c>
      <c r="AM27" s="241" t="s">
        <v>788</v>
      </c>
      <c r="AN27" s="242">
        <v>4</v>
      </c>
      <c r="AO27" s="297">
        <v>4</v>
      </c>
      <c r="AP27" s="241" t="s">
        <v>458</v>
      </c>
      <c r="AQ27" s="301">
        <v>2</v>
      </c>
      <c r="AS27" s="445">
        <v>24</v>
      </c>
      <c r="AT27" s="242" t="s">
        <v>210</v>
      </c>
      <c r="AU27" s="241" t="s">
        <v>331</v>
      </c>
      <c r="AV27" s="242">
        <v>5</v>
      </c>
      <c r="AW27" s="241"/>
      <c r="AX27" s="242"/>
      <c r="AY27" s="297">
        <v>5</v>
      </c>
      <c r="AZ27" s="243"/>
      <c r="BA27" s="302">
        <v>1</v>
      </c>
      <c r="BE27" s="296"/>
      <c r="BG27" s="296"/>
    </row>
    <row r="28" spans="2:59" s="255" customFormat="1" ht="12.5" x14ac:dyDescent="0.25">
      <c r="B28" s="304">
        <v>25</v>
      </c>
      <c r="C28" s="249">
        <v>9</v>
      </c>
      <c r="D28" s="238">
        <v>1</v>
      </c>
      <c r="E28" s="254">
        <v>7</v>
      </c>
      <c r="F28" s="358">
        <v>5</v>
      </c>
      <c r="G28" s="358">
        <v>2</v>
      </c>
      <c r="H28" s="358"/>
      <c r="I28" s="254">
        <v>5</v>
      </c>
      <c r="J28" s="358">
        <v>4</v>
      </c>
      <c r="K28" s="375">
        <v>6</v>
      </c>
      <c r="L28" s="358">
        <v>5</v>
      </c>
      <c r="M28" s="375">
        <v>6</v>
      </c>
      <c r="N28" s="358">
        <v>4</v>
      </c>
      <c r="O28" s="375">
        <v>7</v>
      </c>
      <c r="P28" s="371">
        <v>5</v>
      </c>
      <c r="Q28" s="375">
        <v>7</v>
      </c>
      <c r="R28" s="358">
        <v>6</v>
      </c>
      <c r="S28" s="358"/>
      <c r="T28" s="373"/>
      <c r="U28" s="358"/>
      <c r="V28" s="358">
        <v>5</v>
      </c>
      <c r="W28" s="439">
        <v>1</v>
      </c>
      <c r="X28" s="439"/>
      <c r="Y28" s="440">
        <v>1</v>
      </c>
      <c r="Z28" s="439">
        <v>1</v>
      </c>
      <c r="AA28" s="254">
        <v>5</v>
      </c>
      <c r="AB28" s="254">
        <v>4</v>
      </c>
      <c r="AC28" s="254">
        <v>7</v>
      </c>
      <c r="AD28" s="358">
        <v>6</v>
      </c>
      <c r="AI28" s="300">
        <v>25</v>
      </c>
      <c r="AJ28" s="240" t="s">
        <v>168</v>
      </c>
      <c r="AK28" s="241" t="s">
        <v>331</v>
      </c>
      <c r="AL28" s="242">
        <v>7</v>
      </c>
      <c r="AM28" s="241"/>
      <c r="AN28" s="242"/>
      <c r="AO28" s="297">
        <v>7</v>
      </c>
      <c r="AP28" s="241"/>
      <c r="AQ28" s="301">
        <v>1</v>
      </c>
      <c r="AS28" s="445">
        <v>25</v>
      </c>
      <c r="AT28" s="242" t="s">
        <v>211</v>
      </c>
      <c r="AU28" s="241" t="s">
        <v>331</v>
      </c>
      <c r="AV28" s="242">
        <v>6</v>
      </c>
      <c r="AW28" s="241"/>
      <c r="AX28" s="242"/>
      <c r="AY28" s="297">
        <v>6</v>
      </c>
      <c r="AZ28" s="243"/>
      <c r="BA28" s="302">
        <v>1</v>
      </c>
      <c r="BE28" s="296"/>
      <c r="BG28" s="296"/>
    </row>
    <row r="29" spans="2:59" s="255" customFormat="1" ht="12" customHeight="1" x14ac:dyDescent="0.25">
      <c r="B29" s="304">
        <v>26</v>
      </c>
      <c r="C29" s="238">
        <v>17</v>
      </c>
      <c r="D29" s="238">
        <v>9</v>
      </c>
      <c r="E29" s="254">
        <v>3</v>
      </c>
      <c r="F29" s="358">
        <v>3</v>
      </c>
      <c r="G29" s="358">
        <v>3</v>
      </c>
      <c r="H29" s="358">
        <v>1</v>
      </c>
      <c r="I29" s="254">
        <v>3</v>
      </c>
      <c r="J29" s="358"/>
      <c r="K29" s="375">
        <v>3</v>
      </c>
      <c r="L29" s="358"/>
      <c r="M29" s="375">
        <v>3</v>
      </c>
      <c r="N29" s="358">
        <v>2</v>
      </c>
      <c r="O29" s="371">
        <v>3</v>
      </c>
      <c r="P29" s="371">
        <v>3</v>
      </c>
      <c r="Q29" s="375">
        <v>3</v>
      </c>
      <c r="R29" s="358">
        <v>2</v>
      </c>
      <c r="S29" s="358">
        <v>3</v>
      </c>
      <c r="T29" s="373"/>
      <c r="U29" s="358">
        <v>3</v>
      </c>
      <c r="V29" s="358">
        <v>4</v>
      </c>
      <c r="W29" s="439">
        <v>4</v>
      </c>
      <c r="X29" s="439"/>
      <c r="Y29" s="439">
        <v>2</v>
      </c>
      <c r="Z29" s="439"/>
      <c r="AA29" s="254">
        <v>2</v>
      </c>
      <c r="AB29" s="254">
        <v>1</v>
      </c>
      <c r="AC29" s="254">
        <v>4</v>
      </c>
      <c r="AD29" s="358">
        <v>3</v>
      </c>
      <c r="AI29" s="300">
        <v>26</v>
      </c>
      <c r="AJ29" s="240" t="s">
        <v>151</v>
      </c>
      <c r="AK29" s="241" t="s">
        <v>331</v>
      </c>
      <c r="AL29" s="242">
        <v>4</v>
      </c>
      <c r="AM29" s="241"/>
      <c r="AN29" s="242"/>
      <c r="AO29" s="297">
        <v>4</v>
      </c>
      <c r="AP29" s="241"/>
      <c r="AQ29" s="301">
        <v>1</v>
      </c>
      <c r="AS29" s="445">
        <v>26</v>
      </c>
      <c r="AT29" s="242" t="s">
        <v>212</v>
      </c>
      <c r="AU29" s="241" t="s">
        <v>331</v>
      </c>
      <c r="AV29" s="242">
        <v>3</v>
      </c>
      <c r="AW29" s="241"/>
      <c r="AX29" s="242"/>
      <c r="AY29" s="297">
        <v>3</v>
      </c>
      <c r="AZ29" s="243"/>
      <c r="BA29" s="302">
        <v>1</v>
      </c>
      <c r="BE29" s="296"/>
      <c r="BG29" s="296"/>
    </row>
    <row r="30" spans="2:59" s="255" customFormat="1" ht="12.5" x14ac:dyDescent="0.25">
      <c r="B30" s="304">
        <v>27</v>
      </c>
      <c r="C30" s="238">
        <v>5</v>
      </c>
      <c r="D30" s="238">
        <v>1</v>
      </c>
      <c r="E30" s="254">
        <v>4</v>
      </c>
      <c r="F30" s="358">
        <v>4</v>
      </c>
      <c r="G30" s="358">
        <v>1</v>
      </c>
      <c r="H30" s="358">
        <v>1</v>
      </c>
      <c r="I30" s="254">
        <v>2</v>
      </c>
      <c r="J30" s="358">
        <v>3</v>
      </c>
      <c r="K30" s="366">
        <v>2</v>
      </c>
      <c r="L30" s="358">
        <v>3</v>
      </c>
      <c r="M30" s="371">
        <v>3</v>
      </c>
      <c r="N30" s="358">
        <v>4</v>
      </c>
      <c r="O30" s="375">
        <v>4</v>
      </c>
      <c r="P30" s="373">
        <v>5</v>
      </c>
      <c r="Q30" s="375">
        <v>4</v>
      </c>
      <c r="R30" s="358">
        <v>5</v>
      </c>
      <c r="S30" s="358"/>
      <c r="T30" s="373"/>
      <c r="U30" s="358"/>
      <c r="V30" s="358">
        <v>5</v>
      </c>
      <c r="W30" s="439">
        <v>1</v>
      </c>
      <c r="X30" s="439">
        <v>1</v>
      </c>
      <c r="Y30" s="440"/>
      <c r="Z30" s="439"/>
      <c r="AA30" s="254">
        <v>1</v>
      </c>
      <c r="AB30" s="254">
        <v>3</v>
      </c>
      <c r="AC30" s="254">
        <v>4</v>
      </c>
      <c r="AD30" s="361">
        <v>5</v>
      </c>
      <c r="AI30" s="300">
        <v>27</v>
      </c>
      <c r="AJ30" s="240" t="s">
        <v>152</v>
      </c>
      <c r="AK30" s="241" t="s">
        <v>331</v>
      </c>
      <c r="AL30" s="242">
        <v>4</v>
      </c>
      <c r="AM30" s="241"/>
      <c r="AN30" s="242"/>
      <c r="AO30" s="297">
        <v>4</v>
      </c>
      <c r="AP30" s="241"/>
      <c r="AQ30" s="301">
        <v>1</v>
      </c>
      <c r="AS30" s="445">
        <v>27</v>
      </c>
      <c r="AT30" s="242" t="s">
        <v>213</v>
      </c>
      <c r="AU30" s="241" t="s">
        <v>331</v>
      </c>
      <c r="AV30" s="242">
        <v>5</v>
      </c>
      <c r="AW30" s="241"/>
      <c r="AX30" s="242"/>
      <c r="AY30" s="297">
        <v>5</v>
      </c>
      <c r="AZ30" s="243"/>
      <c r="BA30" s="302">
        <v>1</v>
      </c>
      <c r="BE30" s="296"/>
      <c r="BG30" s="296"/>
    </row>
    <row r="31" spans="2:59" s="255" customFormat="1" ht="12.5" x14ac:dyDescent="0.25">
      <c r="B31" s="304">
        <v>28</v>
      </c>
      <c r="C31" s="238">
        <v>4</v>
      </c>
      <c r="D31" s="238">
        <v>3</v>
      </c>
      <c r="E31" s="254">
        <v>5</v>
      </c>
      <c r="F31" s="358">
        <v>4</v>
      </c>
      <c r="G31" s="358">
        <v>5</v>
      </c>
      <c r="H31" s="358">
        <v>1</v>
      </c>
      <c r="I31" s="254">
        <v>4</v>
      </c>
      <c r="J31" s="358">
        <v>4</v>
      </c>
      <c r="K31" s="361">
        <v>5</v>
      </c>
      <c r="L31" s="358">
        <v>3</v>
      </c>
      <c r="M31" s="371">
        <v>5</v>
      </c>
      <c r="N31" s="358">
        <v>4</v>
      </c>
      <c r="O31" s="371">
        <v>5</v>
      </c>
      <c r="P31" s="373">
        <v>6</v>
      </c>
      <c r="Q31" s="371">
        <v>5</v>
      </c>
      <c r="R31" s="358">
        <v>7</v>
      </c>
      <c r="S31" s="358">
        <v>5</v>
      </c>
      <c r="T31" s="373">
        <v>6</v>
      </c>
      <c r="U31" s="358">
        <v>5</v>
      </c>
      <c r="V31" s="358"/>
      <c r="W31" s="439">
        <v>1</v>
      </c>
      <c r="X31" s="439"/>
      <c r="Y31" s="440">
        <v>1</v>
      </c>
      <c r="Z31" s="439">
        <v>4</v>
      </c>
      <c r="AA31" s="254">
        <v>5</v>
      </c>
      <c r="AB31" s="254">
        <v>4</v>
      </c>
      <c r="AC31" s="254">
        <v>5</v>
      </c>
      <c r="AD31" s="358">
        <v>8</v>
      </c>
      <c r="AI31" s="300">
        <v>28</v>
      </c>
      <c r="AJ31" s="240" t="s">
        <v>153</v>
      </c>
      <c r="AK31" s="241" t="s">
        <v>331</v>
      </c>
      <c r="AL31" s="242">
        <v>5</v>
      </c>
      <c r="AM31" s="241"/>
      <c r="AN31" s="242"/>
      <c r="AO31" s="297">
        <v>5</v>
      </c>
      <c r="AP31" s="241"/>
      <c r="AQ31" s="301">
        <v>1</v>
      </c>
      <c r="AS31" s="445">
        <v>28</v>
      </c>
      <c r="AT31" s="242" t="s">
        <v>214</v>
      </c>
      <c r="AU31" s="241" t="s">
        <v>331</v>
      </c>
      <c r="AV31" s="242">
        <v>8</v>
      </c>
      <c r="AW31" s="241"/>
      <c r="AX31" s="242"/>
      <c r="AY31" s="297">
        <v>8</v>
      </c>
      <c r="AZ31" s="243"/>
      <c r="BA31" s="302">
        <v>1</v>
      </c>
      <c r="BE31" s="296"/>
      <c r="BG31" s="296"/>
    </row>
    <row r="32" spans="2:59" s="255" customFormat="1" ht="12.5" x14ac:dyDescent="0.25">
      <c r="B32" s="304">
        <v>29</v>
      </c>
      <c r="C32" s="238">
        <v>2</v>
      </c>
      <c r="D32" s="238">
        <f>8+12</f>
        <v>20</v>
      </c>
      <c r="E32" s="254">
        <v>5</v>
      </c>
      <c r="F32" s="358">
        <v>6</v>
      </c>
      <c r="G32" s="358"/>
      <c r="H32" s="358">
        <v>1</v>
      </c>
      <c r="I32" s="254">
        <v>2</v>
      </c>
      <c r="J32" s="358"/>
      <c r="K32" s="371">
        <v>3</v>
      </c>
      <c r="L32" s="358">
        <v>5</v>
      </c>
      <c r="M32" s="358">
        <v>3</v>
      </c>
      <c r="N32" s="358">
        <v>6</v>
      </c>
      <c r="O32" s="375">
        <v>5</v>
      </c>
      <c r="P32" s="373">
        <v>6</v>
      </c>
      <c r="Q32" s="375">
        <v>5</v>
      </c>
      <c r="R32" s="358">
        <v>6</v>
      </c>
      <c r="S32" s="358">
        <v>5</v>
      </c>
      <c r="T32" s="358"/>
      <c r="U32" s="358">
        <v>3</v>
      </c>
      <c r="V32" s="358">
        <v>5</v>
      </c>
      <c r="W32" s="439">
        <v>2</v>
      </c>
      <c r="X32" s="439">
        <v>3</v>
      </c>
      <c r="Y32" s="439">
        <v>1</v>
      </c>
      <c r="Z32" s="439">
        <v>1</v>
      </c>
      <c r="AA32" s="254">
        <v>3</v>
      </c>
      <c r="AB32" s="254"/>
      <c r="AC32" s="254">
        <v>6</v>
      </c>
      <c r="AD32" s="358">
        <v>7</v>
      </c>
      <c r="AI32" s="300">
        <v>29</v>
      </c>
      <c r="AJ32" s="240" t="s">
        <v>154</v>
      </c>
      <c r="AK32" s="241" t="s">
        <v>331</v>
      </c>
      <c r="AL32" s="242">
        <v>5</v>
      </c>
      <c r="AM32" s="241"/>
      <c r="AN32" s="242"/>
      <c r="AO32" s="297">
        <v>5</v>
      </c>
      <c r="AP32" s="241"/>
      <c r="AQ32" s="301">
        <v>1</v>
      </c>
      <c r="AS32" s="445">
        <v>29</v>
      </c>
      <c r="AT32" s="242" t="s">
        <v>215</v>
      </c>
      <c r="AU32" s="241" t="s">
        <v>787</v>
      </c>
      <c r="AV32" s="242">
        <v>1</v>
      </c>
      <c r="AW32" s="241" t="s">
        <v>331</v>
      </c>
      <c r="AX32" s="242">
        <v>5</v>
      </c>
      <c r="AY32" s="297">
        <v>6</v>
      </c>
      <c r="AZ32" s="243" t="s">
        <v>457</v>
      </c>
      <c r="BA32" s="302">
        <v>2</v>
      </c>
      <c r="BE32" s="296"/>
      <c r="BG32" s="296"/>
    </row>
    <row r="33" spans="2:59" s="255" customFormat="1" ht="12.5" x14ac:dyDescent="0.25">
      <c r="B33" s="304">
        <v>30</v>
      </c>
      <c r="C33" s="238">
        <v>4</v>
      </c>
      <c r="D33" s="244">
        <v>3</v>
      </c>
      <c r="E33" s="254">
        <v>6</v>
      </c>
      <c r="F33" s="358">
        <v>3</v>
      </c>
      <c r="G33" s="358">
        <v>1</v>
      </c>
      <c r="H33" s="358">
        <v>2</v>
      </c>
      <c r="I33" s="254">
        <v>5</v>
      </c>
      <c r="J33" s="358"/>
      <c r="K33" s="361">
        <v>5</v>
      </c>
      <c r="L33" s="358"/>
      <c r="M33" s="371">
        <v>5</v>
      </c>
      <c r="N33" s="358"/>
      <c r="O33" s="375">
        <v>6</v>
      </c>
      <c r="P33" s="358">
        <v>4</v>
      </c>
      <c r="Q33" s="375">
        <v>6</v>
      </c>
      <c r="R33" s="358">
        <v>7</v>
      </c>
      <c r="S33" s="358">
        <v>7</v>
      </c>
      <c r="T33" s="358"/>
      <c r="U33" s="358">
        <v>7</v>
      </c>
      <c r="V33" s="358"/>
      <c r="W33" s="439"/>
      <c r="X33" s="439"/>
      <c r="Y33" s="440">
        <v>1</v>
      </c>
      <c r="Z33" s="439"/>
      <c r="AA33" s="254">
        <v>3</v>
      </c>
      <c r="AB33" s="254"/>
      <c r="AC33" s="254">
        <v>7</v>
      </c>
      <c r="AD33" s="358">
        <v>7</v>
      </c>
      <c r="AI33" s="300">
        <v>30</v>
      </c>
      <c r="AJ33" s="240" t="s">
        <v>155</v>
      </c>
      <c r="AK33" s="241" t="s">
        <v>331</v>
      </c>
      <c r="AL33" s="242">
        <v>7</v>
      </c>
      <c r="AM33" s="241"/>
      <c r="AN33" s="242"/>
      <c r="AO33" s="297">
        <v>7</v>
      </c>
      <c r="AP33" s="241"/>
      <c r="AQ33" s="301">
        <v>1</v>
      </c>
      <c r="AS33" s="445">
        <v>30</v>
      </c>
      <c r="AT33" s="242" t="s">
        <v>216</v>
      </c>
      <c r="AU33" s="241" t="s">
        <v>336</v>
      </c>
      <c r="AV33" s="242">
        <v>7</v>
      </c>
      <c r="AW33" s="241"/>
      <c r="AX33" s="242"/>
      <c r="AY33" s="297">
        <v>7</v>
      </c>
      <c r="AZ33" s="243"/>
      <c r="BA33" s="302">
        <v>1</v>
      </c>
      <c r="BE33" s="296"/>
      <c r="BG33" s="296"/>
    </row>
    <row r="34" spans="2:59" s="255" customFormat="1" ht="12.5" x14ac:dyDescent="0.25">
      <c r="B34" s="304">
        <v>31</v>
      </c>
      <c r="C34" s="238">
        <v>6</v>
      </c>
      <c r="D34" s="244">
        <v>12</v>
      </c>
      <c r="E34" s="254">
        <v>6</v>
      </c>
      <c r="F34" s="358">
        <v>5</v>
      </c>
      <c r="G34" s="358">
        <v>2</v>
      </c>
      <c r="H34" s="358">
        <v>1</v>
      </c>
      <c r="I34" s="254">
        <v>3</v>
      </c>
      <c r="J34" s="358">
        <v>3</v>
      </c>
      <c r="K34" s="371">
        <v>5</v>
      </c>
      <c r="L34" s="358">
        <v>5</v>
      </c>
      <c r="M34" s="358">
        <v>5</v>
      </c>
      <c r="N34" s="358">
        <v>4</v>
      </c>
      <c r="O34" s="375">
        <v>6</v>
      </c>
      <c r="P34" s="358">
        <v>5</v>
      </c>
      <c r="Q34" s="371">
        <v>6</v>
      </c>
      <c r="R34" s="358">
        <v>6</v>
      </c>
      <c r="S34" s="358">
        <v>7</v>
      </c>
      <c r="T34" s="371">
        <v>5</v>
      </c>
      <c r="U34" s="358">
        <v>6</v>
      </c>
      <c r="V34" s="358">
        <v>6</v>
      </c>
      <c r="W34" s="439"/>
      <c r="X34" s="439">
        <v>2</v>
      </c>
      <c r="Y34" s="440">
        <v>1</v>
      </c>
      <c r="Z34" s="439">
        <v>2</v>
      </c>
      <c r="AA34" s="254">
        <v>3</v>
      </c>
      <c r="AB34" s="254"/>
      <c r="AC34" s="254">
        <v>7</v>
      </c>
      <c r="AD34" s="358">
        <v>7</v>
      </c>
      <c r="AI34" s="300">
        <v>31</v>
      </c>
      <c r="AJ34" s="240" t="s">
        <v>156</v>
      </c>
      <c r="AK34" s="241" t="s">
        <v>331</v>
      </c>
      <c r="AL34" s="242">
        <v>7</v>
      </c>
      <c r="AM34" s="241"/>
      <c r="AN34" s="242"/>
      <c r="AO34" s="297">
        <v>7</v>
      </c>
      <c r="AP34" s="241"/>
      <c r="AQ34" s="301">
        <v>1</v>
      </c>
      <c r="AS34" s="445">
        <v>31</v>
      </c>
      <c r="AT34" s="242" t="s">
        <v>217</v>
      </c>
      <c r="AU34" s="241" t="s">
        <v>331</v>
      </c>
      <c r="AV34" s="242">
        <v>7</v>
      </c>
      <c r="AW34" s="241"/>
      <c r="AX34" s="242"/>
      <c r="AY34" s="297">
        <v>7</v>
      </c>
      <c r="AZ34" s="243"/>
      <c r="BA34" s="302">
        <v>1</v>
      </c>
      <c r="BE34" s="296"/>
      <c r="BG34" s="296"/>
    </row>
    <row r="35" spans="2:59" s="255" customFormat="1" ht="12.5" x14ac:dyDescent="0.25">
      <c r="B35" s="304">
        <v>32</v>
      </c>
      <c r="C35" s="238">
        <v>5</v>
      </c>
      <c r="D35" s="244">
        <v>9</v>
      </c>
      <c r="E35" s="254">
        <v>4</v>
      </c>
      <c r="F35" s="358">
        <v>5</v>
      </c>
      <c r="G35" s="358">
        <v>3</v>
      </c>
      <c r="H35" s="358">
        <v>2</v>
      </c>
      <c r="I35" s="254">
        <v>1</v>
      </c>
      <c r="J35" s="358">
        <v>6</v>
      </c>
      <c r="K35" s="371">
        <v>3</v>
      </c>
      <c r="L35" s="358">
        <v>6</v>
      </c>
      <c r="M35" s="371">
        <v>3</v>
      </c>
      <c r="N35" s="358">
        <v>4</v>
      </c>
      <c r="O35" s="375">
        <v>3</v>
      </c>
      <c r="P35" s="371">
        <v>5</v>
      </c>
      <c r="Q35" s="375">
        <v>5</v>
      </c>
      <c r="R35" s="358">
        <v>9</v>
      </c>
      <c r="S35" s="358">
        <v>5</v>
      </c>
      <c r="T35" s="371">
        <v>9</v>
      </c>
      <c r="U35" s="358">
        <v>5</v>
      </c>
      <c r="V35" s="358">
        <v>9</v>
      </c>
      <c r="W35" s="439"/>
      <c r="X35" s="439">
        <v>3</v>
      </c>
      <c r="Y35" s="440"/>
      <c r="Z35" s="439">
        <v>1</v>
      </c>
      <c r="AA35" s="254">
        <v>1</v>
      </c>
      <c r="AB35" s="254">
        <v>2</v>
      </c>
      <c r="AC35" s="254">
        <v>5</v>
      </c>
      <c r="AD35" s="358">
        <v>9</v>
      </c>
      <c r="AI35" s="300">
        <v>32</v>
      </c>
      <c r="AJ35" s="240" t="s">
        <v>157</v>
      </c>
      <c r="AK35" s="241" t="s">
        <v>787</v>
      </c>
      <c r="AL35" s="242">
        <v>5</v>
      </c>
      <c r="AM35" s="241"/>
      <c r="AN35" s="242"/>
      <c r="AO35" s="297">
        <v>5</v>
      </c>
      <c r="AP35" s="241"/>
      <c r="AQ35" s="301">
        <v>1</v>
      </c>
      <c r="AS35" s="445">
        <v>32</v>
      </c>
      <c r="AT35" s="242" t="s">
        <v>218</v>
      </c>
      <c r="AU35" s="241" t="s">
        <v>331</v>
      </c>
      <c r="AV35" s="242">
        <v>9</v>
      </c>
      <c r="AW35" s="241"/>
      <c r="AX35" s="242"/>
      <c r="AY35" s="297">
        <v>9</v>
      </c>
      <c r="AZ35" s="243"/>
      <c r="BA35" s="302">
        <v>1</v>
      </c>
      <c r="BE35" s="296"/>
      <c r="BG35" s="296"/>
    </row>
    <row r="36" spans="2:59" s="255" customFormat="1" ht="12.5" x14ac:dyDescent="0.25">
      <c r="B36" s="304">
        <v>33</v>
      </c>
      <c r="C36" s="244">
        <v>1</v>
      </c>
      <c r="D36" s="244">
        <v>2</v>
      </c>
      <c r="E36" s="254">
        <v>3</v>
      </c>
      <c r="F36" s="358">
        <v>5</v>
      </c>
      <c r="G36" s="358">
        <v>5</v>
      </c>
      <c r="H36" s="358">
        <v>1</v>
      </c>
      <c r="I36" s="254">
        <v>3</v>
      </c>
      <c r="J36" s="358">
        <v>3</v>
      </c>
      <c r="K36" s="358">
        <v>4</v>
      </c>
      <c r="L36" s="358">
        <v>3</v>
      </c>
      <c r="M36" s="358">
        <v>4</v>
      </c>
      <c r="N36" s="358">
        <v>3</v>
      </c>
      <c r="O36" s="375">
        <v>4</v>
      </c>
      <c r="P36" s="358">
        <v>3</v>
      </c>
      <c r="Q36" s="375">
        <v>5</v>
      </c>
      <c r="R36" s="358">
        <v>3</v>
      </c>
      <c r="S36" s="358">
        <v>4</v>
      </c>
      <c r="T36" s="371">
        <v>5</v>
      </c>
      <c r="U36" s="358">
        <v>5</v>
      </c>
      <c r="V36" s="358">
        <v>5</v>
      </c>
      <c r="W36" s="439">
        <v>3</v>
      </c>
      <c r="X36" s="439"/>
      <c r="Y36" s="439">
        <v>1</v>
      </c>
      <c r="Z36" s="439"/>
      <c r="AA36" s="254">
        <v>2</v>
      </c>
      <c r="AB36" s="254">
        <v>4</v>
      </c>
      <c r="AC36" s="254">
        <v>5</v>
      </c>
      <c r="AD36" s="358">
        <v>5</v>
      </c>
      <c r="AI36" s="300">
        <v>33</v>
      </c>
      <c r="AJ36" s="240" t="s">
        <v>158</v>
      </c>
      <c r="AK36" s="241" t="s">
        <v>787</v>
      </c>
      <c r="AL36" s="242">
        <v>5</v>
      </c>
      <c r="AM36" s="241" t="s">
        <v>788</v>
      </c>
      <c r="AN36" s="242">
        <v>5</v>
      </c>
      <c r="AO36" s="297">
        <v>5</v>
      </c>
      <c r="AP36" s="241" t="s">
        <v>458</v>
      </c>
      <c r="AQ36" s="301">
        <v>2</v>
      </c>
      <c r="AS36" s="445">
        <v>33</v>
      </c>
      <c r="AT36" s="242" t="s">
        <v>219</v>
      </c>
      <c r="AU36" s="241" t="s">
        <v>331</v>
      </c>
      <c r="AV36" s="242">
        <v>5</v>
      </c>
      <c r="AW36" s="241"/>
      <c r="AX36" s="242"/>
      <c r="AY36" s="297">
        <v>5</v>
      </c>
      <c r="AZ36" s="243"/>
      <c r="BA36" s="302">
        <v>1</v>
      </c>
      <c r="BE36" s="296"/>
      <c r="BG36" s="296"/>
    </row>
    <row r="37" spans="2:59" s="255" customFormat="1" ht="12.5" x14ac:dyDescent="0.25">
      <c r="B37" s="304">
        <v>34</v>
      </c>
      <c r="C37" s="244">
        <v>7</v>
      </c>
      <c r="D37" s="244">
        <v>17</v>
      </c>
      <c r="E37" s="254">
        <v>6</v>
      </c>
      <c r="F37" s="358">
        <v>3</v>
      </c>
      <c r="G37" s="358"/>
      <c r="H37" s="358">
        <v>1</v>
      </c>
      <c r="I37" s="254">
        <v>4</v>
      </c>
      <c r="J37" s="358"/>
      <c r="K37" s="371">
        <v>6</v>
      </c>
      <c r="L37" s="358">
        <v>2</v>
      </c>
      <c r="M37" s="358">
        <v>5</v>
      </c>
      <c r="N37" s="358">
        <v>3</v>
      </c>
      <c r="O37" s="375">
        <v>6</v>
      </c>
      <c r="P37" s="358">
        <v>3</v>
      </c>
      <c r="Q37" s="375">
        <v>6</v>
      </c>
      <c r="R37" s="358">
        <v>3</v>
      </c>
      <c r="S37" s="358">
        <v>7</v>
      </c>
      <c r="T37" s="358"/>
      <c r="U37" s="358">
        <v>6</v>
      </c>
      <c r="V37" s="358"/>
      <c r="W37" s="439">
        <v>3</v>
      </c>
      <c r="X37" s="439">
        <v>2</v>
      </c>
      <c r="Y37" s="440"/>
      <c r="Z37" s="439">
        <v>1</v>
      </c>
      <c r="AA37" s="254">
        <v>3</v>
      </c>
      <c r="AB37" s="254">
        <v>2</v>
      </c>
      <c r="AC37" s="254">
        <v>8</v>
      </c>
      <c r="AD37" s="358">
        <v>5</v>
      </c>
      <c r="AI37" s="300">
        <v>34</v>
      </c>
      <c r="AJ37" s="240" t="s">
        <v>175</v>
      </c>
      <c r="AK37" s="241" t="s">
        <v>331</v>
      </c>
      <c r="AL37" s="242">
        <v>8</v>
      </c>
      <c r="AM37" s="241" t="s">
        <v>788</v>
      </c>
      <c r="AN37" s="242">
        <v>5</v>
      </c>
      <c r="AO37" s="297">
        <v>8</v>
      </c>
      <c r="AP37" s="241" t="s">
        <v>458</v>
      </c>
      <c r="AQ37" s="301">
        <v>2</v>
      </c>
      <c r="AS37" s="445">
        <v>34</v>
      </c>
      <c r="AT37" s="242" t="s">
        <v>220</v>
      </c>
      <c r="AU37" s="241" t="s">
        <v>331</v>
      </c>
      <c r="AV37" s="242">
        <v>5</v>
      </c>
      <c r="AW37" s="241"/>
      <c r="AX37" s="242"/>
      <c r="AY37" s="297">
        <v>5</v>
      </c>
      <c r="AZ37" s="243"/>
      <c r="BA37" s="302">
        <v>1</v>
      </c>
      <c r="BE37" s="296"/>
      <c r="BG37" s="296"/>
    </row>
    <row r="38" spans="2:59" s="255" customFormat="1" ht="12.5" x14ac:dyDescent="0.25">
      <c r="B38" s="304">
        <v>35</v>
      </c>
      <c r="C38" s="244">
        <v>7</v>
      </c>
      <c r="D38" s="244">
        <v>7</v>
      </c>
      <c r="E38" s="254">
        <v>7</v>
      </c>
      <c r="F38" s="358">
        <v>7</v>
      </c>
      <c r="G38" s="358">
        <v>2</v>
      </c>
      <c r="H38" s="358">
        <v>3</v>
      </c>
      <c r="I38" s="254">
        <v>2</v>
      </c>
      <c r="J38" s="358">
        <v>3</v>
      </c>
      <c r="K38" s="358">
        <v>7</v>
      </c>
      <c r="L38" s="358">
        <v>5</v>
      </c>
      <c r="M38" s="371">
        <v>7</v>
      </c>
      <c r="N38" s="358">
        <v>7</v>
      </c>
      <c r="O38" s="375">
        <v>7</v>
      </c>
      <c r="P38" s="358">
        <v>7</v>
      </c>
      <c r="Q38" s="375">
        <v>7</v>
      </c>
      <c r="R38" s="358">
        <v>7</v>
      </c>
      <c r="S38" s="358">
        <v>7</v>
      </c>
      <c r="T38" s="358">
        <v>3</v>
      </c>
      <c r="U38" s="358">
        <v>8</v>
      </c>
      <c r="V38" s="358">
        <v>2</v>
      </c>
      <c r="W38" s="439"/>
      <c r="X38" s="439">
        <v>1</v>
      </c>
      <c r="Y38" s="440">
        <v>1</v>
      </c>
      <c r="Z38" s="439">
        <v>1</v>
      </c>
      <c r="AA38" s="254">
        <v>2</v>
      </c>
      <c r="AB38" s="254">
        <v>3</v>
      </c>
      <c r="AC38" s="254">
        <v>8</v>
      </c>
      <c r="AD38" s="358">
        <v>8</v>
      </c>
      <c r="AI38" s="300">
        <v>35</v>
      </c>
      <c r="AJ38" s="240" t="s">
        <v>160</v>
      </c>
      <c r="AK38" s="241" t="s">
        <v>331</v>
      </c>
      <c r="AL38" s="242">
        <v>8</v>
      </c>
      <c r="AM38" s="241"/>
      <c r="AN38" s="242"/>
      <c r="AO38" s="297">
        <v>8</v>
      </c>
      <c r="AP38" s="241"/>
      <c r="AQ38" s="301">
        <v>1</v>
      </c>
      <c r="AS38" s="445">
        <v>35</v>
      </c>
      <c r="AT38" s="242" t="s">
        <v>221</v>
      </c>
      <c r="AU38" s="241" t="s">
        <v>331</v>
      </c>
      <c r="AV38" s="242">
        <v>7</v>
      </c>
      <c r="AW38" s="241"/>
      <c r="AX38" s="242"/>
      <c r="AY38" s="297">
        <v>7</v>
      </c>
      <c r="AZ38" s="243"/>
      <c r="BA38" s="302">
        <v>1</v>
      </c>
      <c r="BE38" s="296"/>
      <c r="BG38" s="296"/>
    </row>
    <row r="39" spans="2:59" s="255" customFormat="1" ht="12.5" x14ac:dyDescent="0.25">
      <c r="B39" s="304">
        <v>36</v>
      </c>
      <c r="C39" s="244">
        <v>5</v>
      </c>
      <c r="D39" s="251">
        <v>2</v>
      </c>
      <c r="E39" s="254">
        <v>4</v>
      </c>
      <c r="F39" s="358">
        <v>4</v>
      </c>
      <c r="G39" s="358">
        <v>4</v>
      </c>
      <c r="H39" s="358"/>
      <c r="I39" s="254">
        <v>3</v>
      </c>
      <c r="J39" s="358">
        <v>4</v>
      </c>
      <c r="K39" s="358">
        <v>3</v>
      </c>
      <c r="L39" s="358">
        <v>4</v>
      </c>
      <c r="M39" s="371">
        <v>3</v>
      </c>
      <c r="N39" s="358">
        <v>4</v>
      </c>
      <c r="O39" s="375">
        <v>5</v>
      </c>
      <c r="P39" s="358">
        <v>4</v>
      </c>
      <c r="Q39" s="375">
        <v>5</v>
      </c>
      <c r="R39" s="358">
        <v>4</v>
      </c>
      <c r="S39" s="358">
        <v>5</v>
      </c>
      <c r="T39" s="371">
        <v>4</v>
      </c>
      <c r="U39" s="358">
        <v>6</v>
      </c>
      <c r="V39" s="358">
        <v>3</v>
      </c>
      <c r="W39" s="439"/>
      <c r="X39" s="439"/>
      <c r="Y39" s="440">
        <v>2</v>
      </c>
      <c r="Z39" s="439"/>
      <c r="AA39" s="254">
        <v>2</v>
      </c>
      <c r="AB39" s="254">
        <v>3</v>
      </c>
      <c r="AC39" s="254">
        <v>6</v>
      </c>
      <c r="AD39" s="358">
        <v>4</v>
      </c>
      <c r="AI39" s="300">
        <v>36</v>
      </c>
      <c r="AJ39" s="240" t="s">
        <v>161</v>
      </c>
      <c r="AK39" s="241" t="s">
        <v>331</v>
      </c>
      <c r="AL39" s="242">
        <v>6</v>
      </c>
      <c r="AM39" s="241"/>
      <c r="AN39" s="242"/>
      <c r="AO39" s="297">
        <v>6</v>
      </c>
      <c r="AP39" s="241"/>
      <c r="AQ39" s="301">
        <v>1</v>
      </c>
      <c r="AS39" s="445">
        <v>36</v>
      </c>
      <c r="AT39" s="242" t="s">
        <v>222</v>
      </c>
      <c r="AU39" s="241" t="s">
        <v>331</v>
      </c>
      <c r="AV39" s="242">
        <v>4</v>
      </c>
      <c r="AW39" s="241"/>
      <c r="AX39" s="242"/>
      <c r="AY39" s="297">
        <v>4</v>
      </c>
      <c r="AZ39" s="243"/>
      <c r="BA39" s="302">
        <v>1</v>
      </c>
      <c r="BE39" s="296"/>
      <c r="BG39" s="296"/>
    </row>
    <row r="40" spans="2:59" s="255" customFormat="1" ht="12.5" x14ac:dyDescent="0.25">
      <c r="B40" s="304">
        <v>37</v>
      </c>
      <c r="C40" s="244">
        <v>13</v>
      </c>
      <c r="D40" s="246">
        <v>5</v>
      </c>
      <c r="E40" s="254">
        <v>4</v>
      </c>
      <c r="F40" s="358">
        <v>4</v>
      </c>
      <c r="G40" s="358"/>
      <c r="H40" s="358">
        <v>2</v>
      </c>
      <c r="I40" s="254"/>
      <c r="J40" s="358">
        <v>2</v>
      </c>
      <c r="K40" s="376"/>
      <c r="L40" s="358">
        <v>3</v>
      </c>
      <c r="M40" s="376">
        <v>4</v>
      </c>
      <c r="N40" s="358">
        <v>4</v>
      </c>
      <c r="O40" s="376">
        <v>4</v>
      </c>
      <c r="P40" s="376">
        <v>4</v>
      </c>
      <c r="Q40" s="377">
        <v>5</v>
      </c>
      <c r="R40" s="358">
        <v>4</v>
      </c>
      <c r="S40" s="358"/>
      <c r="T40" s="378"/>
      <c r="U40" s="358">
        <v>5</v>
      </c>
      <c r="V40" s="358"/>
      <c r="W40" s="439">
        <v>4</v>
      </c>
      <c r="X40" s="439"/>
      <c r="Y40" s="440">
        <v>1</v>
      </c>
      <c r="Z40" s="439">
        <v>1</v>
      </c>
      <c r="AA40" s="254"/>
      <c r="AB40" s="254">
        <v>1</v>
      </c>
      <c r="AC40" s="254">
        <v>5</v>
      </c>
      <c r="AD40" s="358">
        <v>5</v>
      </c>
      <c r="AI40" s="300">
        <v>37</v>
      </c>
      <c r="AJ40" s="240" t="s">
        <v>162</v>
      </c>
      <c r="AK40" s="241" t="s">
        <v>331</v>
      </c>
      <c r="AL40" s="242">
        <v>5</v>
      </c>
      <c r="AM40" s="241"/>
      <c r="AN40" s="242"/>
      <c r="AO40" s="297">
        <v>5</v>
      </c>
      <c r="AP40" s="241"/>
      <c r="AQ40" s="301">
        <v>1</v>
      </c>
      <c r="AS40" s="445">
        <v>37</v>
      </c>
      <c r="AT40" s="242" t="s">
        <v>223</v>
      </c>
      <c r="AU40" s="241" t="s">
        <v>331</v>
      </c>
      <c r="AV40" s="242">
        <v>5</v>
      </c>
      <c r="AW40" s="241"/>
      <c r="AX40" s="242"/>
      <c r="AY40" s="297">
        <v>5</v>
      </c>
      <c r="AZ40" s="243"/>
      <c r="BA40" s="302">
        <v>1</v>
      </c>
      <c r="BE40" s="296"/>
      <c r="BG40" s="296"/>
    </row>
    <row r="41" spans="2:59" s="255" customFormat="1" ht="12.5" x14ac:dyDescent="0.25">
      <c r="B41" s="304">
        <v>38</v>
      </c>
      <c r="C41" s="244">
        <v>5</v>
      </c>
      <c r="D41" s="244">
        <v>3</v>
      </c>
      <c r="E41" s="254">
        <v>6</v>
      </c>
      <c r="F41" s="358">
        <v>7</v>
      </c>
      <c r="G41" s="358"/>
      <c r="H41" s="358">
        <v>1</v>
      </c>
      <c r="I41" s="254">
        <v>7</v>
      </c>
      <c r="J41" s="358">
        <v>6</v>
      </c>
      <c r="K41" s="371">
        <v>6</v>
      </c>
      <c r="L41" s="358">
        <v>8</v>
      </c>
      <c r="M41" s="358">
        <v>6</v>
      </c>
      <c r="N41" s="358">
        <v>7</v>
      </c>
      <c r="O41" s="361">
        <v>6</v>
      </c>
      <c r="P41" s="358">
        <v>7</v>
      </c>
      <c r="Q41" s="361">
        <v>6</v>
      </c>
      <c r="R41" s="358">
        <v>7</v>
      </c>
      <c r="S41" s="358"/>
      <c r="T41" s="371"/>
      <c r="U41" s="358"/>
      <c r="V41" s="358">
        <v>8</v>
      </c>
      <c r="W41" s="439"/>
      <c r="X41" s="439">
        <v>1</v>
      </c>
      <c r="Y41" s="440"/>
      <c r="Z41" s="439">
        <v>3</v>
      </c>
      <c r="AA41" s="254"/>
      <c r="AB41" s="254">
        <v>5</v>
      </c>
      <c r="AC41" s="254">
        <v>7</v>
      </c>
      <c r="AD41" s="358">
        <v>8</v>
      </c>
      <c r="AI41" s="300">
        <v>38</v>
      </c>
      <c r="AJ41" s="240" t="s">
        <v>163</v>
      </c>
      <c r="AK41" s="241" t="s">
        <v>331</v>
      </c>
      <c r="AL41" s="242">
        <v>7</v>
      </c>
      <c r="AM41" s="241"/>
      <c r="AN41" s="242"/>
      <c r="AO41" s="297">
        <v>7</v>
      </c>
      <c r="AP41" s="241"/>
      <c r="AQ41" s="301">
        <v>1</v>
      </c>
      <c r="AS41" s="445">
        <v>38</v>
      </c>
      <c r="AT41" s="242" t="s">
        <v>224</v>
      </c>
      <c r="AU41" s="241" t="s">
        <v>331</v>
      </c>
      <c r="AV41" s="242">
        <v>8</v>
      </c>
      <c r="AW41" s="241" t="s">
        <v>788</v>
      </c>
      <c r="AX41" s="242">
        <v>5</v>
      </c>
      <c r="AY41" s="297">
        <v>8</v>
      </c>
      <c r="AZ41" s="243" t="s">
        <v>458</v>
      </c>
      <c r="BA41" s="302">
        <v>2</v>
      </c>
      <c r="BE41" s="296"/>
      <c r="BG41" s="296"/>
    </row>
    <row r="42" spans="2:59" s="255" customFormat="1" ht="12.5" x14ac:dyDescent="0.25">
      <c r="B42" s="304">
        <v>39</v>
      </c>
      <c r="C42" s="238">
        <v>17</v>
      </c>
      <c r="D42" s="238">
        <v>20</v>
      </c>
      <c r="E42" s="254">
        <v>9</v>
      </c>
      <c r="F42" s="358">
        <v>6</v>
      </c>
      <c r="G42" s="358">
        <v>3</v>
      </c>
      <c r="H42" s="358">
        <v>3</v>
      </c>
      <c r="I42" s="254">
        <v>4</v>
      </c>
      <c r="J42" s="358"/>
      <c r="K42" s="358">
        <v>7</v>
      </c>
      <c r="L42" s="358">
        <v>6</v>
      </c>
      <c r="M42" s="371">
        <v>4</v>
      </c>
      <c r="N42" s="358">
        <v>6</v>
      </c>
      <c r="O42" s="361">
        <v>7</v>
      </c>
      <c r="P42" s="358">
        <v>5</v>
      </c>
      <c r="Q42" s="371">
        <v>7</v>
      </c>
      <c r="R42" s="358">
        <v>7</v>
      </c>
      <c r="S42" s="358">
        <v>4</v>
      </c>
      <c r="T42" s="371">
        <v>4</v>
      </c>
      <c r="U42" s="358">
        <v>6</v>
      </c>
      <c r="V42" s="358">
        <v>8</v>
      </c>
      <c r="W42" s="439">
        <v>4</v>
      </c>
      <c r="X42" s="439">
        <v>1</v>
      </c>
      <c r="Y42" s="439">
        <v>2</v>
      </c>
      <c r="Z42" s="439">
        <v>1</v>
      </c>
      <c r="AA42" s="254">
        <v>5</v>
      </c>
      <c r="AB42" s="254"/>
      <c r="AC42" s="254">
        <v>9</v>
      </c>
      <c r="AD42" s="358">
        <v>7</v>
      </c>
      <c r="AI42" s="300">
        <v>39</v>
      </c>
      <c r="AJ42" s="240" t="s">
        <v>164</v>
      </c>
      <c r="AK42" s="241" t="s">
        <v>331</v>
      </c>
      <c r="AL42" s="242">
        <v>9</v>
      </c>
      <c r="AM42" s="241" t="s">
        <v>788</v>
      </c>
      <c r="AN42" s="242">
        <v>5</v>
      </c>
      <c r="AO42" s="297">
        <v>9</v>
      </c>
      <c r="AP42" s="241" t="s">
        <v>458</v>
      </c>
      <c r="AQ42" s="301">
        <v>2</v>
      </c>
      <c r="AS42" s="445">
        <v>39</v>
      </c>
      <c r="AT42" s="242" t="s">
        <v>225</v>
      </c>
      <c r="AU42" s="241" t="s">
        <v>331</v>
      </c>
      <c r="AV42" s="242">
        <v>5</v>
      </c>
      <c r="AW42" s="241"/>
      <c r="AX42" s="242"/>
      <c r="AY42" s="297">
        <v>5</v>
      </c>
      <c r="AZ42" s="243"/>
      <c r="BA42" s="302">
        <v>1</v>
      </c>
      <c r="BE42" s="296"/>
      <c r="BG42" s="296"/>
    </row>
    <row r="43" spans="2:59" s="255" customFormat="1" ht="12.5" x14ac:dyDescent="0.25">
      <c r="B43" s="304">
        <v>40</v>
      </c>
      <c r="C43" s="244">
        <v>2</v>
      </c>
      <c r="D43" s="244">
        <v>2</v>
      </c>
      <c r="E43" s="254">
        <v>5</v>
      </c>
      <c r="F43" s="358">
        <v>3</v>
      </c>
      <c r="G43" s="358"/>
      <c r="H43" s="358">
        <v>1</v>
      </c>
      <c r="I43" s="254">
        <v>4</v>
      </c>
      <c r="J43" s="358">
        <v>2</v>
      </c>
      <c r="K43" s="371">
        <v>4</v>
      </c>
      <c r="L43" s="358">
        <v>4</v>
      </c>
      <c r="M43" s="371">
        <v>5</v>
      </c>
      <c r="N43" s="358">
        <v>3</v>
      </c>
      <c r="O43" s="361">
        <v>5</v>
      </c>
      <c r="P43" s="371">
        <v>4</v>
      </c>
      <c r="Q43" s="371">
        <v>5</v>
      </c>
      <c r="R43" s="358">
        <v>3</v>
      </c>
      <c r="S43" s="358">
        <v>4</v>
      </c>
      <c r="T43" s="358">
        <v>2</v>
      </c>
      <c r="U43" s="358">
        <v>4</v>
      </c>
      <c r="V43" s="358">
        <v>2</v>
      </c>
      <c r="W43" s="439">
        <v>1</v>
      </c>
      <c r="X43" s="439"/>
      <c r="Y43" s="439"/>
      <c r="Z43" s="439"/>
      <c r="AA43" s="254">
        <v>4</v>
      </c>
      <c r="AB43" s="254">
        <v>1</v>
      </c>
      <c r="AC43" s="254">
        <v>5</v>
      </c>
      <c r="AD43" s="358">
        <v>4</v>
      </c>
      <c r="AI43" s="300">
        <v>40</v>
      </c>
      <c r="AJ43" s="240" t="s">
        <v>165</v>
      </c>
      <c r="AK43" s="241" t="s">
        <v>331</v>
      </c>
      <c r="AL43" s="242">
        <v>5</v>
      </c>
      <c r="AM43" s="241"/>
      <c r="AN43" s="242"/>
      <c r="AO43" s="297">
        <v>5</v>
      </c>
      <c r="AP43" s="241"/>
      <c r="AQ43" s="301">
        <v>1</v>
      </c>
      <c r="AS43" s="445">
        <v>40</v>
      </c>
      <c r="AT43" s="242" t="s">
        <v>226</v>
      </c>
      <c r="AU43" s="241" t="s">
        <v>331</v>
      </c>
      <c r="AV43" s="242">
        <v>4</v>
      </c>
      <c r="AW43" s="241"/>
      <c r="AX43" s="242"/>
      <c r="AY43" s="297">
        <v>4</v>
      </c>
      <c r="AZ43" s="243"/>
      <c r="BA43" s="302">
        <v>1</v>
      </c>
      <c r="BE43" s="296"/>
      <c r="BG43" s="296"/>
    </row>
    <row r="44" spans="2:59" s="255" customFormat="1" ht="12.5" x14ac:dyDescent="0.25">
      <c r="B44" s="304">
        <v>41</v>
      </c>
      <c r="C44" s="238">
        <v>7</v>
      </c>
      <c r="D44" s="238">
        <v>17</v>
      </c>
      <c r="E44" s="254">
        <v>7</v>
      </c>
      <c r="F44" s="358">
        <v>4</v>
      </c>
      <c r="G44" s="358">
        <v>6</v>
      </c>
      <c r="H44" s="358">
        <v>1</v>
      </c>
      <c r="I44" s="254">
        <v>6</v>
      </c>
      <c r="J44" s="358">
        <v>3</v>
      </c>
      <c r="K44" s="358">
        <v>6</v>
      </c>
      <c r="L44" s="358">
        <v>3</v>
      </c>
      <c r="M44" s="358">
        <v>6</v>
      </c>
      <c r="N44" s="358">
        <v>3</v>
      </c>
      <c r="O44" s="361">
        <v>6</v>
      </c>
      <c r="P44" s="358">
        <v>4</v>
      </c>
      <c r="Q44" s="361">
        <v>6</v>
      </c>
      <c r="R44" s="358">
        <v>4</v>
      </c>
      <c r="S44" s="358">
        <v>6</v>
      </c>
      <c r="T44" s="358">
        <v>2</v>
      </c>
      <c r="U44" s="358">
        <v>6</v>
      </c>
      <c r="V44" s="358">
        <v>2</v>
      </c>
      <c r="W44" s="439"/>
      <c r="X44" s="439">
        <v>1</v>
      </c>
      <c r="Y44" s="440"/>
      <c r="Z44" s="439">
        <v>2</v>
      </c>
      <c r="AA44" s="254">
        <v>6</v>
      </c>
      <c r="AB44" s="254"/>
      <c r="AC44" s="254">
        <v>6</v>
      </c>
      <c r="AD44" s="358">
        <v>4</v>
      </c>
      <c r="AI44" s="300">
        <v>41</v>
      </c>
      <c r="AJ44" s="240" t="s">
        <v>166</v>
      </c>
      <c r="AK44" s="241" t="s">
        <v>331</v>
      </c>
      <c r="AL44" s="242">
        <v>6</v>
      </c>
      <c r="AM44" s="241"/>
      <c r="AN44" s="242"/>
      <c r="AO44" s="297">
        <v>6</v>
      </c>
      <c r="AP44" s="241"/>
      <c r="AQ44" s="301">
        <v>1</v>
      </c>
      <c r="AS44" s="445">
        <v>41</v>
      </c>
      <c r="AT44" s="242" t="s">
        <v>227</v>
      </c>
      <c r="AU44" s="241" t="s">
        <v>331</v>
      </c>
      <c r="AV44" s="242">
        <v>4</v>
      </c>
      <c r="AW44" s="241"/>
      <c r="AX44" s="242"/>
      <c r="AY44" s="297">
        <v>4</v>
      </c>
      <c r="AZ44" s="243"/>
      <c r="BA44" s="302">
        <v>1</v>
      </c>
      <c r="BE44" s="296"/>
      <c r="BG44" s="296"/>
    </row>
    <row r="45" spans="2:59" s="255" customFormat="1" ht="12.5" x14ac:dyDescent="0.25">
      <c r="B45" s="304">
        <v>42</v>
      </c>
      <c r="C45" s="238">
        <v>3</v>
      </c>
      <c r="D45" s="238">
        <v>17</v>
      </c>
      <c r="E45" s="254">
        <v>4</v>
      </c>
      <c r="F45" s="358">
        <v>7</v>
      </c>
      <c r="G45" s="358">
        <v>1</v>
      </c>
      <c r="H45" s="358">
        <v>1</v>
      </c>
      <c r="I45" s="254">
        <v>4</v>
      </c>
      <c r="J45" s="358">
        <v>5</v>
      </c>
      <c r="K45" s="358">
        <v>3</v>
      </c>
      <c r="L45" s="358">
        <v>6</v>
      </c>
      <c r="M45" s="371">
        <v>4</v>
      </c>
      <c r="N45" s="358">
        <v>6</v>
      </c>
      <c r="O45" s="361">
        <v>4</v>
      </c>
      <c r="P45" s="371">
        <v>6</v>
      </c>
      <c r="Q45" s="371">
        <v>4</v>
      </c>
      <c r="R45" s="358">
        <v>7</v>
      </c>
      <c r="S45" s="358">
        <v>4</v>
      </c>
      <c r="T45" s="371"/>
      <c r="U45" s="358">
        <v>4</v>
      </c>
      <c r="V45" s="358">
        <v>6</v>
      </c>
      <c r="W45" s="439"/>
      <c r="X45" s="439">
        <v>1</v>
      </c>
      <c r="Y45" s="440"/>
      <c r="Z45" s="439">
        <v>5</v>
      </c>
      <c r="AA45" s="254">
        <v>4</v>
      </c>
      <c r="AB45" s="254"/>
      <c r="AC45" s="254">
        <v>4</v>
      </c>
      <c r="AD45" s="358">
        <v>7</v>
      </c>
      <c r="AI45" s="300">
        <v>42</v>
      </c>
      <c r="AJ45" s="240" t="s">
        <v>167</v>
      </c>
      <c r="AK45" s="241" t="s">
        <v>331</v>
      </c>
      <c r="AL45" s="242">
        <v>4</v>
      </c>
      <c r="AM45" s="241"/>
      <c r="AN45" s="242"/>
      <c r="AO45" s="297">
        <v>4</v>
      </c>
      <c r="AP45" s="241"/>
      <c r="AQ45" s="301">
        <v>1</v>
      </c>
      <c r="AS45" s="445">
        <v>42</v>
      </c>
      <c r="AT45" s="242" t="s">
        <v>228</v>
      </c>
      <c r="AU45" s="241" t="s">
        <v>331</v>
      </c>
      <c r="AV45" s="242">
        <v>7</v>
      </c>
      <c r="AW45" s="241" t="s">
        <v>788</v>
      </c>
      <c r="AX45" s="242">
        <v>2</v>
      </c>
      <c r="AY45" s="297">
        <v>7</v>
      </c>
      <c r="AZ45" s="243" t="s">
        <v>458</v>
      </c>
      <c r="BA45" s="302">
        <v>2</v>
      </c>
      <c r="BE45" s="296"/>
      <c r="BG45" s="296"/>
    </row>
    <row r="46" spans="2:59" s="255" customFormat="1" ht="12.5" x14ac:dyDescent="0.25">
      <c r="B46" s="304">
        <v>43</v>
      </c>
      <c r="C46" s="244">
        <v>22</v>
      </c>
      <c r="D46" s="238">
        <v>10</v>
      </c>
      <c r="E46" s="254">
        <v>8</v>
      </c>
      <c r="F46" s="358">
        <v>4</v>
      </c>
      <c r="G46" s="358">
        <v>5</v>
      </c>
      <c r="H46" s="358">
        <v>1</v>
      </c>
      <c r="I46" s="254">
        <v>5</v>
      </c>
      <c r="J46" s="358">
        <v>3</v>
      </c>
      <c r="K46" s="358">
        <v>10</v>
      </c>
      <c r="L46" s="358">
        <v>4</v>
      </c>
      <c r="M46" s="371">
        <v>10</v>
      </c>
      <c r="N46" s="358">
        <v>4</v>
      </c>
      <c r="O46" s="361">
        <v>8</v>
      </c>
      <c r="P46" s="361">
        <v>4</v>
      </c>
      <c r="Q46" s="361">
        <v>10</v>
      </c>
      <c r="R46" s="358">
        <v>4</v>
      </c>
      <c r="S46" s="358">
        <v>9</v>
      </c>
      <c r="T46" s="361">
        <v>1</v>
      </c>
      <c r="U46" s="358">
        <v>9</v>
      </c>
      <c r="V46" s="358">
        <v>5</v>
      </c>
      <c r="W46" s="439">
        <v>6</v>
      </c>
      <c r="X46" s="439"/>
      <c r="Y46" s="439">
        <v>1</v>
      </c>
      <c r="Z46" s="439">
        <v>1</v>
      </c>
      <c r="AA46" s="254">
        <v>3</v>
      </c>
      <c r="AB46" s="254">
        <v>2</v>
      </c>
      <c r="AC46" s="254">
        <v>10</v>
      </c>
      <c r="AD46" s="358">
        <v>4</v>
      </c>
      <c r="AI46" s="300">
        <v>43</v>
      </c>
      <c r="AJ46" s="240" t="s">
        <v>169</v>
      </c>
      <c r="AK46" s="241" t="s">
        <v>331</v>
      </c>
      <c r="AL46" s="242">
        <v>10</v>
      </c>
      <c r="AM46" s="241"/>
      <c r="AN46" s="242"/>
      <c r="AO46" s="297">
        <v>10</v>
      </c>
      <c r="AP46" s="241"/>
      <c r="AQ46" s="301">
        <v>1</v>
      </c>
      <c r="AS46" s="445">
        <v>43</v>
      </c>
      <c r="AT46" s="242" t="s">
        <v>229</v>
      </c>
      <c r="AU46" s="241" t="s">
        <v>331</v>
      </c>
      <c r="AV46" s="242">
        <v>4</v>
      </c>
      <c r="AW46" s="241"/>
      <c r="AX46" s="242"/>
      <c r="AY46" s="297">
        <v>4</v>
      </c>
      <c r="AZ46" s="243"/>
      <c r="BA46" s="302">
        <v>1</v>
      </c>
      <c r="BE46" s="296"/>
      <c r="BG46" s="296"/>
    </row>
    <row r="47" spans="2:59" s="255" customFormat="1" ht="12.5" x14ac:dyDescent="0.25">
      <c r="B47" s="304">
        <v>44</v>
      </c>
      <c r="C47" s="244">
        <v>11</v>
      </c>
      <c r="D47" s="244">
        <v>2</v>
      </c>
      <c r="E47" s="254">
        <v>5</v>
      </c>
      <c r="F47" s="358">
        <v>4</v>
      </c>
      <c r="G47" s="358">
        <v>2</v>
      </c>
      <c r="H47" s="358"/>
      <c r="I47" s="254">
        <v>5</v>
      </c>
      <c r="J47" s="358">
        <v>2</v>
      </c>
      <c r="K47" s="371">
        <v>5</v>
      </c>
      <c r="L47" s="358">
        <v>3</v>
      </c>
      <c r="M47" s="371">
        <v>5</v>
      </c>
      <c r="N47" s="358">
        <v>4</v>
      </c>
      <c r="O47" s="361">
        <v>5</v>
      </c>
      <c r="P47" s="371">
        <v>4</v>
      </c>
      <c r="Q47" s="361">
        <v>5</v>
      </c>
      <c r="R47" s="358">
        <v>4</v>
      </c>
      <c r="S47" s="358">
        <v>5</v>
      </c>
      <c r="T47" s="361">
        <v>2</v>
      </c>
      <c r="U47" s="358">
        <v>5</v>
      </c>
      <c r="V47" s="358">
        <v>3</v>
      </c>
      <c r="W47" s="439"/>
      <c r="X47" s="439"/>
      <c r="Y47" s="440">
        <v>1</v>
      </c>
      <c r="Z47" s="439"/>
      <c r="AA47" s="254">
        <v>4</v>
      </c>
      <c r="AB47" s="254">
        <v>1</v>
      </c>
      <c r="AC47" s="254">
        <v>5</v>
      </c>
      <c r="AD47" s="361">
        <v>4</v>
      </c>
      <c r="AI47" s="300">
        <v>44</v>
      </c>
      <c r="AJ47" s="240" t="s">
        <v>170</v>
      </c>
      <c r="AK47" s="241" t="s">
        <v>331</v>
      </c>
      <c r="AL47" s="242">
        <v>5</v>
      </c>
      <c r="AM47" s="241"/>
      <c r="AN47" s="242"/>
      <c r="AO47" s="297">
        <v>5</v>
      </c>
      <c r="AP47" s="241"/>
      <c r="AQ47" s="301">
        <v>1</v>
      </c>
      <c r="AS47" s="445">
        <v>44</v>
      </c>
      <c r="AT47" s="242" t="s">
        <v>230</v>
      </c>
      <c r="AU47" s="241" t="s">
        <v>331</v>
      </c>
      <c r="AV47" s="242">
        <v>4</v>
      </c>
      <c r="AW47" s="241"/>
      <c r="AX47" s="242"/>
      <c r="AY47" s="297">
        <v>4</v>
      </c>
      <c r="AZ47" s="243"/>
      <c r="BA47" s="302">
        <v>1</v>
      </c>
      <c r="BE47" s="296"/>
      <c r="BG47" s="296"/>
    </row>
    <row r="48" spans="2:59" s="255" customFormat="1" ht="12.5" x14ac:dyDescent="0.25">
      <c r="B48" s="304">
        <v>45</v>
      </c>
      <c r="C48" s="238">
        <v>4</v>
      </c>
      <c r="D48" s="244">
        <v>1</v>
      </c>
      <c r="E48" s="254">
        <v>4</v>
      </c>
      <c r="F48" s="358">
        <v>8</v>
      </c>
      <c r="G48" s="431">
        <v>1</v>
      </c>
      <c r="H48" s="358"/>
      <c r="I48" s="307">
        <v>3</v>
      </c>
      <c r="J48" s="358">
        <v>8</v>
      </c>
      <c r="K48" s="358">
        <v>4</v>
      </c>
      <c r="L48" s="358"/>
      <c r="M48" s="358">
        <v>4</v>
      </c>
      <c r="N48" s="358">
        <v>8</v>
      </c>
      <c r="O48" s="358">
        <v>4</v>
      </c>
      <c r="P48" s="361">
        <v>8</v>
      </c>
      <c r="Q48" s="358">
        <v>4</v>
      </c>
      <c r="R48" s="358">
        <v>8</v>
      </c>
      <c r="S48" s="358">
        <v>4</v>
      </c>
      <c r="T48" s="361"/>
      <c r="U48" s="358">
        <v>4</v>
      </c>
      <c r="V48" s="358">
        <v>7</v>
      </c>
      <c r="W48" s="439"/>
      <c r="X48" s="439">
        <v>6</v>
      </c>
      <c r="Y48" s="440"/>
      <c r="Z48" s="439"/>
      <c r="AA48" s="254">
        <v>3</v>
      </c>
      <c r="AB48" s="254">
        <v>8</v>
      </c>
      <c r="AC48" s="254">
        <v>4</v>
      </c>
      <c r="AD48" s="358">
        <v>8</v>
      </c>
      <c r="AI48" s="300">
        <v>45</v>
      </c>
      <c r="AJ48" s="240" t="s">
        <v>171</v>
      </c>
      <c r="AK48" s="241" t="s">
        <v>331</v>
      </c>
      <c r="AL48" s="242">
        <v>4</v>
      </c>
      <c r="AM48" s="241" t="s">
        <v>788</v>
      </c>
      <c r="AN48" s="242">
        <v>3</v>
      </c>
      <c r="AO48" s="297">
        <v>4</v>
      </c>
      <c r="AP48" s="241" t="s">
        <v>458</v>
      </c>
      <c r="AQ48" s="301">
        <v>2</v>
      </c>
      <c r="AS48" s="445">
        <v>45</v>
      </c>
      <c r="AT48" s="242" t="s">
        <v>231</v>
      </c>
      <c r="AU48" s="241" t="s">
        <v>787</v>
      </c>
      <c r="AV48" s="242">
        <v>5</v>
      </c>
      <c r="AW48" s="241" t="s">
        <v>331</v>
      </c>
      <c r="AX48" s="242">
        <v>3</v>
      </c>
      <c r="AY48" s="297">
        <v>8</v>
      </c>
      <c r="AZ48" s="243" t="s">
        <v>457</v>
      </c>
      <c r="BA48" s="302">
        <v>1</v>
      </c>
      <c r="BE48" s="296"/>
      <c r="BG48" s="296"/>
    </row>
    <row r="49" spans="1:59" s="255" customFormat="1" ht="12.5" x14ac:dyDescent="0.25">
      <c r="B49" s="305">
        <v>46</v>
      </c>
      <c r="C49" s="238">
        <v>7</v>
      </c>
      <c r="D49" s="238">
        <v>24</v>
      </c>
      <c r="E49" s="254">
        <v>6</v>
      </c>
      <c r="F49" s="358">
        <v>6</v>
      </c>
      <c r="G49" s="431">
        <v>2</v>
      </c>
      <c r="H49" s="358">
        <v>1</v>
      </c>
      <c r="I49" s="307">
        <v>6</v>
      </c>
      <c r="J49" s="358"/>
      <c r="K49" s="358">
        <v>6</v>
      </c>
      <c r="L49" s="358">
        <v>5</v>
      </c>
      <c r="M49" s="371">
        <v>6</v>
      </c>
      <c r="N49" s="358">
        <v>3</v>
      </c>
      <c r="O49" s="371">
        <v>6</v>
      </c>
      <c r="P49" s="361">
        <v>4</v>
      </c>
      <c r="Q49" s="358">
        <v>6</v>
      </c>
      <c r="R49" s="358">
        <v>7</v>
      </c>
      <c r="S49" s="358">
        <v>6</v>
      </c>
      <c r="T49" s="361"/>
      <c r="U49" s="358">
        <v>3</v>
      </c>
      <c r="V49" s="358"/>
      <c r="W49" s="439"/>
      <c r="X49" s="439">
        <v>4</v>
      </c>
      <c r="Y49" s="440">
        <v>4</v>
      </c>
      <c r="Z49" s="439">
        <v>1</v>
      </c>
      <c r="AA49" s="254">
        <v>6</v>
      </c>
      <c r="AB49" s="254"/>
      <c r="AC49" s="254">
        <v>7</v>
      </c>
      <c r="AD49" s="358">
        <v>8</v>
      </c>
      <c r="AI49" s="300">
        <v>46</v>
      </c>
      <c r="AJ49" s="240" t="s">
        <v>172</v>
      </c>
      <c r="AK49" s="241" t="s">
        <v>331</v>
      </c>
      <c r="AL49" s="242">
        <v>6</v>
      </c>
      <c r="AM49" s="241" t="s">
        <v>788</v>
      </c>
      <c r="AN49" s="242">
        <v>6</v>
      </c>
      <c r="AO49" s="297">
        <v>7</v>
      </c>
      <c r="AP49" s="241" t="s">
        <v>458</v>
      </c>
      <c r="AQ49" s="301">
        <v>2</v>
      </c>
      <c r="AS49" s="445">
        <v>46</v>
      </c>
      <c r="AT49" s="242" t="s">
        <v>232</v>
      </c>
      <c r="AU49" s="241" t="s">
        <v>331</v>
      </c>
      <c r="AV49" s="242">
        <v>8</v>
      </c>
      <c r="AW49" s="241"/>
      <c r="AX49" s="242"/>
      <c r="AY49" s="297">
        <v>8</v>
      </c>
      <c r="AZ49" s="243"/>
      <c r="BA49" s="302">
        <v>1</v>
      </c>
      <c r="BE49" s="296"/>
      <c r="BG49" s="296"/>
    </row>
    <row r="50" spans="1:59" s="255" customFormat="1" ht="12.5" x14ac:dyDescent="0.25">
      <c r="B50" s="304">
        <v>47</v>
      </c>
      <c r="C50" s="238">
        <v>10</v>
      </c>
      <c r="D50" s="238">
        <v>14</v>
      </c>
      <c r="E50" s="254">
        <v>5</v>
      </c>
      <c r="F50" s="358">
        <v>4</v>
      </c>
      <c r="G50" s="431">
        <v>1</v>
      </c>
      <c r="H50" s="358">
        <v>2</v>
      </c>
      <c r="I50" s="307"/>
      <c r="J50" s="358">
        <v>3</v>
      </c>
      <c r="K50" s="358">
        <v>3</v>
      </c>
      <c r="L50" s="358">
        <v>4</v>
      </c>
      <c r="M50" s="371">
        <v>5</v>
      </c>
      <c r="N50" s="358">
        <v>4</v>
      </c>
      <c r="O50" s="371">
        <v>4</v>
      </c>
      <c r="P50" s="361">
        <v>4</v>
      </c>
      <c r="Q50" s="358">
        <v>5</v>
      </c>
      <c r="R50" s="358">
        <v>4</v>
      </c>
      <c r="S50" s="358"/>
      <c r="T50" s="361"/>
      <c r="U50" s="358"/>
      <c r="V50" s="358"/>
      <c r="W50" s="439"/>
      <c r="X50" s="439">
        <v>2</v>
      </c>
      <c r="Y50" s="440"/>
      <c r="Z50" s="439">
        <v>1</v>
      </c>
      <c r="AA50" s="254"/>
      <c r="AB50" s="254">
        <v>3</v>
      </c>
      <c r="AC50" s="254">
        <v>6</v>
      </c>
      <c r="AD50" s="358">
        <v>4</v>
      </c>
      <c r="AI50" s="300">
        <v>47</v>
      </c>
      <c r="AJ50" s="240" t="s">
        <v>176</v>
      </c>
      <c r="AK50" s="241" t="s">
        <v>331</v>
      </c>
      <c r="AL50" s="242">
        <v>6</v>
      </c>
      <c r="AM50" s="241"/>
      <c r="AN50" s="242"/>
      <c r="AO50" s="297">
        <v>6</v>
      </c>
      <c r="AP50" s="241"/>
      <c r="AQ50" s="301">
        <v>1</v>
      </c>
      <c r="AS50" s="445">
        <v>47</v>
      </c>
      <c r="AT50" s="242" t="s">
        <v>233</v>
      </c>
      <c r="AU50" s="241" t="s">
        <v>331</v>
      </c>
      <c r="AV50" s="242">
        <v>4</v>
      </c>
      <c r="AW50" s="241"/>
      <c r="AX50" s="242"/>
      <c r="AY50" s="297">
        <v>4</v>
      </c>
      <c r="AZ50" s="243"/>
      <c r="BA50" s="302">
        <v>1</v>
      </c>
      <c r="BE50" s="296"/>
      <c r="BG50" s="296"/>
    </row>
    <row r="51" spans="1:59" s="255" customFormat="1" ht="12.5" x14ac:dyDescent="0.25">
      <c r="B51" s="305">
        <v>48</v>
      </c>
      <c r="C51" s="244">
        <v>1</v>
      </c>
      <c r="D51" s="238">
        <v>14</v>
      </c>
      <c r="E51" s="254">
        <v>10</v>
      </c>
      <c r="F51" s="358">
        <v>5</v>
      </c>
      <c r="G51" s="431">
        <v>1</v>
      </c>
      <c r="H51" s="358">
        <v>1</v>
      </c>
      <c r="I51" s="307">
        <v>8</v>
      </c>
      <c r="J51" s="358">
        <v>2</v>
      </c>
      <c r="K51" s="358">
        <v>10</v>
      </c>
      <c r="L51" s="358">
        <v>4</v>
      </c>
      <c r="M51" s="371">
        <v>10</v>
      </c>
      <c r="N51" s="358">
        <v>3</v>
      </c>
      <c r="O51" s="371">
        <v>8</v>
      </c>
      <c r="P51" s="361">
        <v>5</v>
      </c>
      <c r="Q51" s="358">
        <v>9</v>
      </c>
      <c r="R51" s="358">
        <v>5</v>
      </c>
      <c r="S51" s="358"/>
      <c r="T51" s="361"/>
      <c r="U51" s="358"/>
      <c r="V51" s="358"/>
      <c r="W51" s="439"/>
      <c r="X51" s="439">
        <v>2</v>
      </c>
      <c r="Y51" s="439"/>
      <c r="Z51" s="439">
        <v>3</v>
      </c>
      <c r="AA51" s="254">
        <v>6</v>
      </c>
      <c r="AB51" s="254">
        <v>1</v>
      </c>
      <c r="AC51" s="250">
        <v>10</v>
      </c>
      <c r="AD51" s="358">
        <v>5</v>
      </c>
      <c r="AI51" s="300">
        <v>48</v>
      </c>
      <c r="AJ51" s="240" t="s">
        <v>179</v>
      </c>
      <c r="AK51" s="241" t="s">
        <v>331</v>
      </c>
      <c r="AL51" s="242">
        <v>3</v>
      </c>
      <c r="AM51" s="241" t="s">
        <v>787</v>
      </c>
      <c r="AN51" s="242">
        <v>9</v>
      </c>
      <c r="AO51" s="297">
        <v>12</v>
      </c>
      <c r="AP51" s="241" t="s">
        <v>457</v>
      </c>
      <c r="AQ51" s="301">
        <v>1</v>
      </c>
      <c r="AS51" s="445">
        <v>48</v>
      </c>
      <c r="AT51" s="242" t="s">
        <v>234</v>
      </c>
      <c r="AU51" s="241" t="s">
        <v>331</v>
      </c>
      <c r="AV51" s="242">
        <v>5</v>
      </c>
      <c r="AW51" s="241"/>
      <c r="AX51" s="242"/>
      <c r="AY51" s="297">
        <v>5</v>
      </c>
      <c r="AZ51" s="243"/>
      <c r="BA51" s="302">
        <v>1</v>
      </c>
      <c r="BE51" s="296"/>
      <c r="BG51" s="296"/>
    </row>
    <row r="52" spans="1:59" s="255" customFormat="1" ht="12.5" x14ac:dyDescent="0.25">
      <c r="B52" s="305">
        <v>49</v>
      </c>
      <c r="C52" s="252">
        <v>7</v>
      </c>
      <c r="D52" s="253">
        <v>14</v>
      </c>
      <c r="E52" s="256"/>
      <c r="F52" s="378">
        <v>5</v>
      </c>
      <c r="G52" s="432">
        <v>1</v>
      </c>
      <c r="H52" s="378">
        <v>2</v>
      </c>
      <c r="I52" s="308"/>
      <c r="J52" s="378"/>
      <c r="K52" s="378">
        <v>4</v>
      </c>
      <c r="L52" s="378">
        <v>5</v>
      </c>
      <c r="M52" s="376">
        <v>4</v>
      </c>
      <c r="N52" s="378">
        <v>5</v>
      </c>
      <c r="O52" s="376">
        <v>4</v>
      </c>
      <c r="P52" s="379">
        <v>5</v>
      </c>
      <c r="Q52" s="378">
        <v>4</v>
      </c>
      <c r="R52" s="378">
        <v>5</v>
      </c>
      <c r="S52" s="378"/>
      <c r="T52" s="379"/>
      <c r="U52" s="358"/>
      <c r="V52" s="358">
        <v>3</v>
      </c>
      <c r="W52" s="439">
        <v>1</v>
      </c>
      <c r="X52" s="439">
        <v>4</v>
      </c>
      <c r="Y52" s="440"/>
      <c r="Z52" s="439"/>
      <c r="AA52" s="254"/>
      <c r="AB52" s="254"/>
      <c r="AC52" s="250">
        <v>4</v>
      </c>
      <c r="AD52" s="358">
        <v>5</v>
      </c>
      <c r="AI52" s="300">
        <v>49</v>
      </c>
      <c r="AJ52" s="240" t="s">
        <v>177</v>
      </c>
      <c r="AK52" s="241" t="s">
        <v>331</v>
      </c>
      <c r="AL52" s="242">
        <v>6</v>
      </c>
      <c r="AM52" s="241"/>
      <c r="AN52" s="242"/>
      <c r="AO52" s="297">
        <v>6</v>
      </c>
      <c r="AP52" s="241"/>
      <c r="AQ52" s="301">
        <v>1</v>
      </c>
      <c r="AS52" s="445">
        <v>49</v>
      </c>
      <c r="AT52" s="242" t="s">
        <v>235</v>
      </c>
      <c r="AU52" s="241" t="s">
        <v>331</v>
      </c>
      <c r="AV52" s="242">
        <v>5</v>
      </c>
      <c r="AW52" s="241"/>
      <c r="AX52" s="242"/>
      <c r="AY52" s="297">
        <v>5</v>
      </c>
      <c r="AZ52" s="243"/>
      <c r="BA52" s="302">
        <v>1</v>
      </c>
      <c r="BE52" s="296"/>
      <c r="BG52" s="296"/>
    </row>
    <row r="53" spans="1:59" s="255" customFormat="1" ht="12.5" x14ac:dyDescent="0.25">
      <c r="B53" s="304">
        <v>50</v>
      </c>
      <c r="C53" s="254">
        <v>2</v>
      </c>
      <c r="D53" s="250">
        <v>15</v>
      </c>
      <c r="E53" s="254">
        <v>4</v>
      </c>
      <c r="F53" s="358">
        <v>5</v>
      </c>
      <c r="G53" s="358">
        <v>2</v>
      </c>
      <c r="H53" s="358">
        <v>2</v>
      </c>
      <c r="I53" s="254">
        <v>4</v>
      </c>
      <c r="J53" s="358"/>
      <c r="K53" s="358">
        <v>6</v>
      </c>
      <c r="L53" s="358"/>
      <c r="M53" s="371">
        <v>6</v>
      </c>
      <c r="N53" s="358">
        <v>3</v>
      </c>
      <c r="O53" s="371">
        <v>5</v>
      </c>
      <c r="P53" s="361">
        <v>5</v>
      </c>
      <c r="Q53" s="358">
        <v>5</v>
      </c>
      <c r="R53" s="358">
        <v>5</v>
      </c>
      <c r="S53" s="358"/>
      <c r="T53" s="361">
        <v>5</v>
      </c>
      <c r="U53" s="358"/>
      <c r="V53" s="358">
        <v>3</v>
      </c>
      <c r="W53" s="439"/>
      <c r="X53" s="439">
        <v>3</v>
      </c>
      <c r="Y53" s="439"/>
      <c r="Z53" s="439">
        <v>4</v>
      </c>
      <c r="AA53" s="254">
        <v>5</v>
      </c>
      <c r="AB53" s="254"/>
      <c r="AC53" s="254">
        <v>7</v>
      </c>
      <c r="AD53" s="358">
        <v>7</v>
      </c>
      <c r="AI53" s="300">
        <v>50</v>
      </c>
      <c r="AJ53" s="240" t="s">
        <v>178</v>
      </c>
      <c r="AK53" s="241" t="s">
        <v>331</v>
      </c>
      <c r="AL53" s="242">
        <v>7</v>
      </c>
      <c r="AM53" s="241"/>
      <c r="AN53" s="242"/>
      <c r="AO53" s="297">
        <v>7</v>
      </c>
      <c r="AP53" s="241"/>
      <c r="AQ53" s="301">
        <v>1</v>
      </c>
      <c r="AS53" s="445">
        <v>50</v>
      </c>
      <c r="AT53" s="242" t="s">
        <v>236</v>
      </c>
      <c r="AU53" s="241" t="s">
        <v>331</v>
      </c>
      <c r="AV53" s="242">
        <v>7</v>
      </c>
      <c r="AW53" s="241"/>
      <c r="AX53" s="242"/>
      <c r="AY53" s="297">
        <v>7</v>
      </c>
      <c r="AZ53" s="243"/>
      <c r="BA53" s="302">
        <v>1</v>
      </c>
      <c r="BE53" s="296"/>
      <c r="BG53" s="296"/>
    </row>
    <row r="54" spans="1:59" s="255" customFormat="1" ht="12.5" x14ac:dyDescent="0.25">
      <c r="B54" s="304">
        <v>51</v>
      </c>
      <c r="C54" s="257"/>
      <c r="D54" s="250">
        <v>11</v>
      </c>
      <c r="E54" s="257"/>
      <c r="F54" s="358">
        <v>5</v>
      </c>
      <c r="G54" s="364"/>
      <c r="H54" s="358">
        <v>1</v>
      </c>
      <c r="I54" s="257"/>
      <c r="J54" s="358">
        <v>2</v>
      </c>
      <c r="K54" s="364"/>
      <c r="L54" s="358">
        <v>6</v>
      </c>
      <c r="M54" s="364"/>
      <c r="N54" s="358">
        <v>6</v>
      </c>
      <c r="O54" s="364"/>
      <c r="P54" s="361">
        <v>4</v>
      </c>
      <c r="Q54" s="364"/>
      <c r="R54" s="358">
        <v>8</v>
      </c>
      <c r="S54" s="364"/>
      <c r="T54" s="361">
        <v>5</v>
      </c>
      <c r="U54" s="364"/>
      <c r="V54" s="358">
        <v>4</v>
      </c>
      <c r="W54" s="365"/>
      <c r="X54" s="439">
        <v>1</v>
      </c>
      <c r="Y54" s="365"/>
      <c r="Z54" s="439"/>
      <c r="AA54" s="257"/>
      <c r="AB54" s="254">
        <v>2</v>
      </c>
      <c r="AC54" s="257"/>
      <c r="AD54" s="358">
        <v>8</v>
      </c>
      <c r="AI54" s="443"/>
      <c r="AL54" s="86"/>
      <c r="AM54" s="239"/>
      <c r="AN54" s="86"/>
      <c r="AO54" s="239"/>
      <c r="AP54" s="239"/>
      <c r="AQ54" s="239"/>
      <c r="AS54" s="445">
        <v>51</v>
      </c>
      <c r="AT54" s="242" t="s">
        <v>237</v>
      </c>
      <c r="AU54" s="241" t="s">
        <v>331</v>
      </c>
      <c r="AV54" s="242">
        <v>6</v>
      </c>
      <c r="AW54" s="243"/>
      <c r="AX54" s="242"/>
      <c r="AY54" s="297">
        <v>6</v>
      </c>
      <c r="AZ54" s="241"/>
      <c r="BA54" s="302">
        <v>1</v>
      </c>
      <c r="BE54" s="296"/>
      <c r="BG54" s="296"/>
    </row>
    <row r="55" spans="1:59" s="68" customFormat="1" ht="12.5" x14ac:dyDescent="0.25">
      <c r="B55" s="304" t="s">
        <v>59</v>
      </c>
      <c r="C55" s="313">
        <f>COUNT(C4:C54)</f>
        <v>50</v>
      </c>
      <c r="D55" s="313">
        <f>COUNT(D4:D54)</f>
        <v>51</v>
      </c>
      <c r="E55" s="313">
        <f>COUNT(E4:E54)</f>
        <v>49</v>
      </c>
      <c r="F55" s="359">
        <f t="shared" ref="F55:Y55" si="0">COUNT(F4:F54)</f>
        <v>51</v>
      </c>
      <c r="G55" s="359">
        <f t="shared" si="0"/>
        <v>39</v>
      </c>
      <c r="H55" s="359">
        <f t="shared" si="0"/>
        <v>37</v>
      </c>
      <c r="I55" s="313">
        <f t="shared" si="0"/>
        <v>43</v>
      </c>
      <c r="J55" s="359">
        <f t="shared" si="0"/>
        <v>39</v>
      </c>
      <c r="K55" s="359">
        <f t="shared" si="0"/>
        <v>45</v>
      </c>
      <c r="L55" s="359">
        <f t="shared" si="0"/>
        <v>40</v>
      </c>
      <c r="M55" s="359">
        <f t="shared" si="0"/>
        <v>50</v>
      </c>
      <c r="N55" s="359">
        <f t="shared" si="0"/>
        <v>50</v>
      </c>
      <c r="O55" s="359">
        <f t="shared" si="0"/>
        <v>49</v>
      </c>
      <c r="P55" s="359">
        <f t="shared" si="0"/>
        <v>51</v>
      </c>
      <c r="Q55" s="359">
        <f t="shared" si="0"/>
        <v>50</v>
      </c>
      <c r="R55" s="359">
        <f t="shared" si="0"/>
        <v>51</v>
      </c>
      <c r="S55" s="359">
        <f t="shared" si="0"/>
        <v>22</v>
      </c>
      <c r="T55" s="359">
        <f t="shared" si="0"/>
        <v>21</v>
      </c>
      <c r="U55" s="359">
        <f t="shared" si="0"/>
        <v>27</v>
      </c>
      <c r="V55" s="359">
        <f t="shared" si="0"/>
        <v>27</v>
      </c>
      <c r="W55" s="358">
        <f t="shared" si="0"/>
        <v>27</v>
      </c>
      <c r="X55" s="358">
        <f t="shared" si="0"/>
        <v>31</v>
      </c>
      <c r="Y55" s="358">
        <f t="shared" si="0"/>
        <v>27</v>
      </c>
      <c r="Z55" s="358">
        <f>COUNT(Z4:Z54)</f>
        <v>30</v>
      </c>
      <c r="AA55" s="254">
        <f>COUNT(AA4:AA54)</f>
        <v>41</v>
      </c>
      <c r="AB55" s="254">
        <f>COUNT(AB4:AB54)</f>
        <v>37</v>
      </c>
      <c r="AC55" s="254">
        <f>COUNT(AC4:AC54)</f>
        <v>50</v>
      </c>
      <c r="AD55" s="358">
        <f>COUNT(AD4:AD54)</f>
        <v>51</v>
      </c>
      <c r="AI55" s="443"/>
      <c r="AL55" s="61"/>
      <c r="AN55" s="59"/>
      <c r="AS55" s="309"/>
      <c r="AV55" s="61"/>
      <c r="AX55" s="59"/>
      <c r="AY55" s="59"/>
      <c r="BA55" s="61"/>
      <c r="BE55" s="296"/>
      <c r="BG55" s="296"/>
    </row>
    <row r="56" spans="1:59" s="68" customFormat="1" ht="12.5" x14ac:dyDescent="0.25">
      <c r="B56" s="314" t="s">
        <v>7</v>
      </c>
      <c r="C56" s="293"/>
      <c r="D56" s="293"/>
      <c r="E56" s="250">
        <f>MEDIAN(E4:E54)</f>
        <v>5</v>
      </c>
      <c r="F56" s="361">
        <f t="shared" ref="F56:AC56" si="1">MEDIAN(F4:F54)</f>
        <v>4</v>
      </c>
      <c r="G56" s="361">
        <f t="shared" si="1"/>
        <v>2</v>
      </c>
      <c r="H56" s="361">
        <f t="shared" si="1"/>
        <v>1</v>
      </c>
      <c r="I56" s="250">
        <f t="shared" si="1"/>
        <v>4</v>
      </c>
      <c r="J56" s="361">
        <f>MEDIAN(J4:J54)</f>
        <v>3</v>
      </c>
      <c r="K56" s="361">
        <f>MEDIAN(K4:K54)</f>
        <v>4</v>
      </c>
      <c r="L56" s="361">
        <f t="shared" si="1"/>
        <v>4</v>
      </c>
      <c r="M56" s="361">
        <f t="shared" si="1"/>
        <v>5</v>
      </c>
      <c r="N56" s="361">
        <f t="shared" si="1"/>
        <v>4</v>
      </c>
      <c r="O56" s="361">
        <f t="shared" si="1"/>
        <v>5</v>
      </c>
      <c r="P56" s="361">
        <f t="shared" si="1"/>
        <v>4</v>
      </c>
      <c r="Q56" s="361">
        <f t="shared" si="1"/>
        <v>6</v>
      </c>
      <c r="R56" s="361">
        <f t="shared" si="1"/>
        <v>5</v>
      </c>
      <c r="S56" s="361">
        <f t="shared" si="1"/>
        <v>5</v>
      </c>
      <c r="T56" s="361">
        <f t="shared" si="1"/>
        <v>4</v>
      </c>
      <c r="U56" s="361">
        <f t="shared" si="1"/>
        <v>5</v>
      </c>
      <c r="V56" s="361">
        <f t="shared" si="1"/>
        <v>4</v>
      </c>
      <c r="W56" s="361">
        <f>MEDIAN(W4:W54)</f>
        <v>1</v>
      </c>
      <c r="X56" s="361">
        <f>MEDIAN(X4:X54)</f>
        <v>1</v>
      </c>
      <c r="Y56" s="361">
        <f t="shared" si="1"/>
        <v>1</v>
      </c>
      <c r="Z56" s="361">
        <f t="shared" si="1"/>
        <v>1</v>
      </c>
      <c r="AA56" s="250">
        <f>MEDIAN(AA4:AA54)</f>
        <v>4</v>
      </c>
      <c r="AB56" s="250">
        <f>MEDIAN(AB4:AB54)</f>
        <v>2</v>
      </c>
      <c r="AC56" s="250">
        <f t="shared" si="1"/>
        <v>7</v>
      </c>
      <c r="AD56" s="361">
        <f>MEDIAN(AD4:AD54)</f>
        <v>6</v>
      </c>
      <c r="AI56" s="443"/>
      <c r="AJ56" s="275"/>
      <c r="AK56" s="275" t="s">
        <v>2</v>
      </c>
      <c r="AL56" s="275" t="s">
        <v>774</v>
      </c>
      <c r="AM56" s="275" t="s">
        <v>0</v>
      </c>
      <c r="AN56" s="315" t="s">
        <v>775</v>
      </c>
      <c r="AS56" s="309"/>
      <c r="AV56" s="61"/>
      <c r="AX56" s="59"/>
      <c r="AY56" s="59"/>
      <c r="BA56" s="61"/>
      <c r="BE56" s="296"/>
      <c r="BG56" s="296"/>
    </row>
    <row r="57" spans="1:59" s="68" customFormat="1" ht="13" x14ac:dyDescent="0.3">
      <c r="B57" s="309"/>
      <c r="E57" s="494"/>
      <c r="F57" s="494"/>
      <c r="G57" s="495"/>
      <c r="H57" s="495"/>
      <c r="I57" s="341"/>
      <c r="J57" s="380"/>
      <c r="K57" s="495"/>
      <c r="L57" s="495"/>
      <c r="M57" s="495"/>
      <c r="N57" s="495"/>
      <c r="O57" s="496"/>
      <c r="P57" s="496"/>
      <c r="Q57" s="497"/>
      <c r="R57" s="497"/>
      <c r="S57" s="354"/>
      <c r="T57" s="354"/>
      <c r="U57" s="354"/>
      <c r="V57" s="354"/>
      <c r="W57" s="366"/>
      <c r="X57" s="366"/>
      <c r="Y57" s="366"/>
      <c r="Z57" s="366"/>
      <c r="AA57" s="61"/>
      <c r="AB57" s="249"/>
      <c r="AD57" s="381"/>
      <c r="AI57" s="443"/>
      <c r="AJ57" s="243" t="s">
        <v>773</v>
      </c>
      <c r="AK57" s="242">
        <f>COUNTIF(AQ4:AQ53, "1")</f>
        <v>41</v>
      </c>
      <c r="AL57" s="298">
        <f>AK57/50</f>
        <v>0.82</v>
      </c>
      <c r="AM57" s="242">
        <f>COUNTIF(BA4:BA55, "1")</f>
        <v>43</v>
      </c>
      <c r="AN57" s="298">
        <f>AM57/51</f>
        <v>0.84313725490196079</v>
      </c>
      <c r="AS57" s="309"/>
      <c r="AV57" s="61"/>
      <c r="AX57" s="59"/>
      <c r="AY57" s="59"/>
      <c r="BA57" s="61"/>
      <c r="BE57" s="296"/>
      <c r="BG57" s="296"/>
    </row>
    <row r="58" spans="1:59" s="68" customFormat="1" ht="13" x14ac:dyDescent="0.3">
      <c r="A58" s="316" t="s">
        <v>30</v>
      </c>
      <c r="B58" s="317"/>
      <c r="C58" s="316"/>
      <c r="D58" s="316"/>
      <c r="E58" s="316"/>
      <c r="F58" s="433"/>
      <c r="G58" s="433"/>
      <c r="H58" s="354"/>
      <c r="J58" s="488" t="s">
        <v>29</v>
      </c>
      <c r="K58" s="488"/>
      <c r="L58" s="488"/>
      <c r="M58" s="488"/>
      <c r="N58" s="488"/>
      <c r="O58" s="488"/>
      <c r="P58" s="488"/>
      <c r="Q58" s="488"/>
      <c r="R58" s="354"/>
      <c r="S58" s="354"/>
      <c r="T58" s="354"/>
      <c r="U58" s="354"/>
      <c r="V58" s="354"/>
      <c r="W58" s="381"/>
      <c r="X58" s="381"/>
      <c r="Y58" s="381"/>
      <c r="Z58" s="381"/>
      <c r="AA58" s="61"/>
      <c r="AB58" s="61"/>
      <c r="AD58" s="381"/>
      <c r="AI58" s="443"/>
      <c r="AJ58" s="243" t="s">
        <v>772</v>
      </c>
      <c r="AK58" s="242">
        <f>COUNTIF(AQ4:AQ54, "2")</f>
        <v>9</v>
      </c>
      <c r="AL58" s="298">
        <f>AK58/50</f>
        <v>0.18</v>
      </c>
      <c r="AM58" s="242">
        <f>COUNTIF(BA4:BA55, "2")</f>
        <v>8</v>
      </c>
      <c r="AN58" s="298">
        <f>AM58/51</f>
        <v>0.15686274509803921</v>
      </c>
      <c r="AS58" s="309"/>
      <c r="AV58" s="61"/>
      <c r="AX58" s="59"/>
      <c r="AY58" s="59"/>
      <c r="BA58" s="61"/>
      <c r="BE58" s="296"/>
      <c r="BG58" s="296"/>
    </row>
    <row r="59" spans="1:59" s="68" customFormat="1" ht="31.5" customHeight="1" x14ac:dyDescent="0.25">
      <c r="A59" s="339" t="s">
        <v>28</v>
      </c>
      <c r="B59" s="318" t="s">
        <v>21</v>
      </c>
      <c r="C59" s="342" t="s">
        <v>20</v>
      </c>
      <c r="D59" s="342" t="s">
        <v>92</v>
      </c>
      <c r="E59" s="342" t="s">
        <v>93</v>
      </c>
      <c r="F59" s="424" t="s">
        <v>45</v>
      </c>
      <c r="G59" s="424" t="s">
        <v>46</v>
      </c>
      <c r="H59" s="354"/>
      <c r="J59" s="489" t="s">
        <v>28</v>
      </c>
      <c r="K59" s="489"/>
      <c r="L59" s="382" t="s">
        <v>21</v>
      </c>
      <c r="M59" s="382" t="s">
        <v>20</v>
      </c>
      <c r="N59" s="382" t="s">
        <v>92</v>
      </c>
      <c r="O59" s="382" t="s">
        <v>93</v>
      </c>
      <c r="P59" s="382" t="s">
        <v>45</v>
      </c>
      <c r="Q59" s="382" t="s">
        <v>46</v>
      </c>
      <c r="R59" s="354"/>
      <c r="S59" s="354"/>
      <c r="T59" s="354"/>
      <c r="U59" s="354"/>
      <c r="V59" s="354"/>
      <c r="W59" s="381"/>
      <c r="X59" s="381"/>
      <c r="Y59" s="381"/>
      <c r="Z59" s="381"/>
      <c r="AA59" s="61"/>
      <c r="AB59" s="61"/>
      <c r="AD59" s="381"/>
      <c r="AI59" s="443"/>
      <c r="AL59" s="61"/>
      <c r="AN59" s="59"/>
      <c r="AS59" s="309"/>
      <c r="AV59" s="61"/>
      <c r="AX59" s="59"/>
      <c r="AY59" s="59"/>
      <c r="BA59" s="61"/>
      <c r="BE59" s="296"/>
      <c r="BG59" s="296"/>
    </row>
    <row r="60" spans="1:59" s="68" customFormat="1" ht="12.5" x14ac:dyDescent="0.25">
      <c r="A60" s="319" t="s">
        <v>812</v>
      </c>
      <c r="B60" s="320">
        <f>COUNT($E$4:$E$54)</f>
        <v>49</v>
      </c>
      <c r="C60" s="321">
        <f t="shared" ref="C60:C70" si="2">B60/50</f>
        <v>0.98</v>
      </c>
      <c r="D60" s="322">
        <f>COUNTIF($E$4:$E$54, "&gt;3")</f>
        <v>45</v>
      </c>
      <c r="E60" s="90">
        <f t="shared" ref="E60:E70" si="3">D60/50</f>
        <v>0.9</v>
      </c>
      <c r="F60" s="383">
        <f>COUNTIF($E$4:$E$54, "&gt;5")</f>
        <v>21</v>
      </c>
      <c r="G60" s="384">
        <f t="shared" ref="G60:G70" si="4">F60/50</f>
        <v>0.42</v>
      </c>
      <c r="H60" s="354"/>
      <c r="J60" s="481" t="s">
        <v>812</v>
      </c>
      <c r="K60" s="481"/>
      <c r="L60" s="383">
        <f>COUNT($F$4:$F$54)</f>
        <v>51</v>
      </c>
      <c r="M60" s="384">
        <f>L60/51</f>
        <v>1</v>
      </c>
      <c r="N60" s="383">
        <f>COUNTIF($F$4:$F$54,"&gt;3")</f>
        <v>39</v>
      </c>
      <c r="O60" s="384">
        <f>N60/51</f>
        <v>0.76470588235294112</v>
      </c>
      <c r="P60" s="383">
        <f>COUNTIF($F$4:$F$54,"&gt;5")</f>
        <v>12</v>
      </c>
      <c r="Q60" s="384">
        <f>P60/51</f>
        <v>0.23529411764705882</v>
      </c>
      <c r="R60" s="354"/>
      <c r="S60" s="354"/>
      <c r="T60" s="354"/>
      <c r="U60" s="354"/>
      <c r="V60" s="354"/>
      <c r="W60" s="381"/>
      <c r="X60" s="381"/>
      <c r="Y60" s="381"/>
      <c r="Z60" s="381"/>
      <c r="AA60" s="61"/>
      <c r="AB60" s="61"/>
      <c r="AD60" s="381"/>
      <c r="AL60" s="309"/>
      <c r="AO60" s="61"/>
      <c r="AQ60" s="59"/>
      <c r="AR60" s="59"/>
      <c r="AT60" s="61"/>
      <c r="AX60" s="296"/>
      <c r="AZ60" s="296"/>
    </row>
    <row r="61" spans="1:59" s="68" customFormat="1" ht="12.5" x14ac:dyDescent="0.25">
      <c r="A61" s="319" t="s">
        <v>44</v>
      </c>
      <c r="B61" s="320">
        <f>COUNT($G$4:$G$54)</f>
        <v>39</v>
      </c>
      <c r="C61" s="321">
        <f t="shared" si="2"/>
        <v>0.78</v>
      </c>
      <c r="D61" s="322">
        <f>COUNTIF($G$4:$G$54, "&gt;3")</f>
        <v>6</v>
      </c>
      <c r="E61" s="90">
        <f t="shared" si="3"/>
        <v>0.12</v>
      </c>
      <c r="F61" s="383">
        <f>COUNTIF($G$4:$G$54, "&gt;5")</f>
        <v>1</v>
      </c>
      <c r="G61" s="384">
        <f t="shared" si="4"/>
        <v>0.02</v>
      </c>
      <c r="H61" s="354"/>
      <c r="J61" s="481" t="s">
        <v>44</v>
      </c>
      <c r="K61" s="481"/>
      <c r="L61" s="383">
        <f>COUNT($H$4:$H$54)</f>
        <v>37</v>
      </c>
      <c r="M61" s="384">
        <f t="shared" ref="M61:M70" si="5">L61/51</f>
        <v>0.72549019607843135</v>
      </c>
      <c r="N61" s="383">
        <f>COUNTIF($H$4:$H$54, "&gt;3")</f>
        <v>0</v>
      </c>
      <c r="O61" s="384">
        <f t="shared" ref="O61:O70" si="6">N61/51</f>
        <v>0</v>
      </c>
      <c r="P61" s="383">
        <f>COUNTIF($H$4:$H$54, "&gt;5")</f>
        <v>0</v>
      </c>
      <c r="Q61" s="384">
        <f t="shared" ref="Q61:Q70" si="7">P61/51</f>
        <v>0</v>
      </c>
      <c r="R61" s="354"/>
      <c r="S61" s="354"/>
      <c r="T61" s="354"/>
      <c r="U61" s="354"/>
      <c r="V61" s="354"/>
      <c r="W61" s="381"/>
      <c r="X61" s="381"/>
      <c r="Y61" s="381"/>
      <c r="Z61" s="381"/>
      <c r="AA61" s="61"/>
      <c r="AB61" s="61"/>
      <c r="AD61" s="381"/>
      <c r="AL61" s="309"/>
      <c r="AO61" s="61"/>
      <c r="AQ61" s="59"/>
      <c r="AR61" s="59"/>
      <c r="AT61" s="61"/>
      <c r="AX61" s="296"/>
      <c r="AZ61" s="296"/>
    </row>
    <row r="62" spans="1:59" s="68" customFormat="1" ht="12.5" x14ac:dyDescent="0.25">
      <c r="A62" s="319" t="s">
        <v>811</v>
      </c>
      <c r="B62" s="320">
        <f>COUNT($I$4:$I$54)</f>
        <v>43</v>
      </c>
      <c r="C62" s="321">
        <f t="shared" si="2"/>
        <v>0.86</v>
      </c>
      <c r="D62" s="322">
        <f>COUNTIF($I$4:$I$54,"&gt;3")</f>
        <v>27</v>
      </c>
      <c r="E62" s="90">
        <f t="shared" si="3"/>
        <v>0.54</v>
      </c>
      <c r="F62" s="383">
        <f>COUNTIF($I$4:$I$54,"&gt;5")</f>
        <v>6</v>
      </c>
      <c r="G62" s="384">
        <f t="shared" si="4"/>
        <v>0.12</v>
      </c>
      <c r="H62" s="354"/>
      <c r="J62" s="486" t="s">
        <v>811</v>
      </c>
      <c r="K62" s="487"/>
      <c r="L62" s="383">
        <f>COUNT($J$4:$J$54)</f>
        <v>39</v>
      </c>
      <c r="M62" s="384">
        <f t="shared" si="5"/>
        <v>0.76470588235294112</v>
      </c>
      <c r="N62" s="383">
        <f>COUNTIF($J$4:$J$54,"&gt;3")</f>
        <v>13</v>
      </c>
      <c r="O62" s="384">
        <f t="shared" si="6"/>
        <v>0.25490196078431371</v>
      </c>
      <c r="P62" s="383">
        <f>COUNTIF($J$4:$J$54,"&gt;5")</f>
        <v>6</v>
      </c>
      <c r="Q62" s="384">
        <f t="shared" si="7"/>
        <v>0.11764705882352941</v>
      </c>
      <c r="R62" s="354"/>
      <c r="S62" s="354"/>
      <c r="T62" s="354"/>
      <c r="U62" s="354"/>
      <c r="V62" s="354"/>
      <c r="W62" s="381"/>
      <c r="X62" s="381"/>
      <c r="Y62" s="381"/>
      <c r="Z62" s="381"/>
      <c r="AA62" s="61"/>
      <c r="AB62" s="61"/>
      <c r="AD62" s="381"/>
      <c r="AL62" s="309"/>
      <c r="AO62" s="61"/>
      <c r="AQ62" s="59"/>
      <c r="AR62" s="59"/>
      <c r="AT62" s="61"/>
      <c r="AX62" s="296"/>
      <c r="AZ62" s="296"/>
    </row>
    <row r="63" spans="1:59" s="68" customFormat="1" ht="12.5" x14ac:dyDescent="0.25">
      <c r="A63" s="319" t="s">
        <v>26</v>
      </c>
      <c r="B63" s="320">
        <f>COUNT($K$4:$K$54)</f>
        <v>45</v>
      </c>
      <c r="C63" s="321">
        <f t="shared" si="2"/>
        <v>0.9</v>
      </c>
      <c r="D63" s="322">
        <f>COUNTIF($K$4:$K$54,"&gt;3")</f>
        <v>33</v>
      </c>
      <c r="E63" s="90">
        <f t="shared" si="3"/>
        <v>0.66</v>
      </c>
      <c r="F63" s="383">
        <f>COUNTIF($K$4:$K$54,"&gt;5")</f>
        <v>11</v>
      </c>
      <c r="G63" s="384">
        <f t="shared" si="4"/>
        <v>0.22</v>
      </c>
      <c r="H63" s="354"/>
      <c r="J63" s="481" t="s">
        <v>26</v>
      </c>
      <c r="K63" s="481"/>
      <c r="L63" s="383">
        <f>COUNT($L$4:$L$54)</f>
        <v>40</v>
      </c>
      <c r="M63" s="384">
        <f t="shared" si="5"/>
        <v>0.78431372549019607</v>
      </c>
      <c r="N63" s="383">
        <f>COUNTIF($L$4:$L$54, "&gt;3")</f>
        <v>23</v>
      </c>
      <c r="O63" s="384">
        <f t="shared" si="6"/>
        <v>0.45098039215686275</v>
      </c>
      <c r="P63" s="383">
        <f>COUNTIF($L$4:$L$54, "&gt;5")</f>
        <v>7</v>
      </c>
      <c r="Q63" s="384">
        <f t="shared" si="7"/>
        <v>0.13725490196078433</v>
      </c>
      <c r="R63" s="354"/>
      <c r="S63" s="354"/>
      <c r="T63" s="354"/>
      <c r="U63" s="354"/>
      <c r="V63" s="354"/>
      <c r="W63" s="381"/>
      <c r="X63" s="381"/>
      <c r="Y63" s="381"/>
      <c r="Z63" s="381"/>
      <c r="AA63" s="61"/>
      <c r="AB63" s="61"/>
      <c r="AD63" s="381"/>
      <c r="AL63" s="309"/>
      <c r="AO63" s="61"/>
      <c r="AQ63" s="59"/>
      <c r="AR63" s="59"/>
      <c r="AT63" s="61"/>
      <c r="AX63" s="296"/>
      <c r="AZ63" s="296"/>
    </row>
    <row r="64" spans="1:59" s="68" customFormat="1" x14ac:dyDescent="0.25">
      <c r="A64" s="319" t="s">
        <v>27</v>
      </c>
      <c r="B64" s="320">
        <f>COUNT($M$4:$M$54)</f>
        <v>50</v>
      </c>
      <c r="C64" s="321">
        <f t="shared" si="2"/>
        <v>1</v>
      </c>
      <c r="D64" s="322">
        <f>COUNTIF($M$4:$M$54,"&gt;3")</f>
        <v>41</v>
      </c>
      <c r="E64" s="90">
        <f t="shared" si="3"/>
        <v>0.82</v>
      </c>
      <c r="F64" s="383">
        <f>COUNTIF($M$4:$M$54,"&gt;5")</f>
        <v>16</v>
      </c>
      <c r="G64" s="384">
        <f t="shared" si="4"/>
        <v>0.32</v>
      </c>
      <c r="H64" s="354"/>
      <c r="J64" s="481" t="s">
        <v>27</v>
      </c>
      <c r="K64" s="481"/>
      <c r="L64" s="383">
        <f>COUNT($N$4:$N$54)</f>
        <v>50</v>
      </c>
      <c r="M64" s="384">
        <f t="shared" si="5"/>
        <v>0.98039215686274506</v>
      </c>
      <c r="N64" s="383">
        <f>COUNTIF($N$4:$N$54, "&gt;3")</f>
        <v>33</v>
      </c>
      <c r="O64" s="384">
        <f t="shared" si="6"/>
        <v>0.6470588235294118</v>
      </c>
      <c r="P64" s="383">
        <f>COUNTIF($N$4:$N$54, "&gt;5")</f>
        <v>12</v>
      </c>
      <c r="Q64" s="384">
        <f t="shared" si="7"/>
        <v>0.23529411764705882</v>
      </c>
      <c r="R64" s="354"/>
      <c r="S64" s="355"/>
      <c r="T64" s="355"/>
      <c r="U64" s="354"/>
      <c r="V64" s="354"/>
      <c r="W64" s="354"/>
      <c r="X64" s="354"/>
      <c r="Y64" s="354"/>
      <c r="Z64" s="354"/>
      <c r="AD64" s="381"/>
      <c r="AL64" s="309"/>
      <c r="AO64" s="61"/>
      <c r="AQ64" s="59"/>
      <c r="AR64" s="59"/>
      <c r="AT64" s="61"/>
      <c r="AX64" s="296"/>
      <c r="AZ64" s="296"/>
    </row>
    <row r="65" spans="1:59" s="68" customFormat="1" x14ac:dyDescent="0.25">
      <c r="A65" s="343" t="s">
        <v>86</v>
      </c>
      <c r="B65" s="323">
        <f>COUNT($O$4:$O$54)</f>
        <v>49</v>
      </c>
      <c r="C65" s="321">
        <f t="shared" si="2"/>
        <v>0.98</v>
      </c>
      <c r="D65" s="57">
        <f>COUNTIF($O$4:$O$54,"&gt;3")</f>
        <v>44</v>
      </c>
      <c r="E65" s="90">
        <f t="shared" si="3"/>
        <v>0.88</v>
      </c>
      <c r="F65" s="360">
        <f>COUNTIF($O$4:$O$54,"&gt;5")</f>
        <v>22</v>
      </c>
      <c r="G65" s="384">
        <f t="shared" si="4"/>
        <v>0.44</v>
      </c>
      <c r="H65" s="354"/>
      <c r="J65" s="481" t="s">
        <v>86</v>
      </c>
      <c r="K65" s="481"/>
      <c r="L65" s="360">
        <f>COUNT($P$4:$P$54)</f>
        <v>51</v>
      </c>
      <c r="M65" s="384">
        <f t="shared" si="5"/>
        <v>1</v>
      </c>
      <c r="N65" s="360">
        <f>COUNTIF($P$4:$P$54, "&gt;3")</f>
        <v>41</v>
      </c>
      <c r="O65" s="384">
        <f t="shared" si="6"/>
        <v>0.80392156862745101</v>
      </c>
      <c r="P65" s="360">
        <f>COUNTIF($P$4:$P$54, "&gt;5")</f>
        <v>13</v>
      </c>
      <c r="Q65" s="384">
        <f t="shared" si="7"/>
        <v>0.25490196078431371</v>
      </c>
      <c r="R65" s="354"/>
      <c r="S65" s="355"/>
      <c r="T65" s="355"/>
      <c r="U65" s="354"/>
      <c r="V65" s="354"/>
      <c r="W65" s="354"/>
      <c r="X65" s="354"/>
      <c r="Y65" s="354"/>
      <c r="Z65" s="354"/>
      <c r="AD65" s="381"/>
      <c r="AL65" s="309"/>
      <c r="AO65" s="61"/>
      <c r="AQ65" s="59"/>
      <c r="AR65" s="59"/>
      <c r="AT65" s="61"/>
      <c r="AX65" s="296"/>
      <c r="AZ65" s="296"/>
    </row>
    <row r="66" spans="1:59" s="68" customFormat="1" ht="12.5" x14ac:dyDescent="0.25">
      <c r="A66" s="343" t="s">
        <v>87</v>
      </c>
      <c r="B66" s="323">
        <f>COUNT($Q$4:$Q$54)</f>
        <v>50</v>
      </c>
      <c r="C66" s="321">
        <f t="shared" si="2"/>
        <v>1</v>
      </c>
      <c r="D66" s="57">
        <f>COUNTIF($Q$4:$Q$54,"&gt;3")</f>
        <v>48</v>
      </c>
      <c r="E66" s="90">
        <f t="shared" si="3"/>
        <v>0.96</v>
      </c>
      <c r="F66" s="360">
        <f>COUNTIF($Q$4:$Q$54,"&gt;5")</f>
        <v>26</v>
      </c>
      <c r="G66" s="384">
        <f t="shared" si="4"/>
        <v>0.52</v>
      </c>
      <c r="H66" s="354"/>
      <c r="J66" s="481" t="s">
        <v>87</v>
      </c>
      <c r="K66" s="481"/>
      <c r="L66" s="360">
        <f>COUNT($R$4:$R$54)</f>
        <v>51</v>
      </c>
      <c r="M66" s="384">
        <f t="shared" si="5"/>
        <v>1</v>
      </c>
      <c r="N66" s="360">
        <f>COUNTIF($R$4:$R$54, "&gt;3")</f>
        <v>41</v>
      </c>
      <c r="O66" s="384">
        <f t="shared" si="6"/>
        <v>0.80392156862745101</v>
      </c>
      <c r="P66" s="360">
        <f>COUNTIF($R$4:$R$54, "&gt;5")</f>
        <v>18</v>
      </c>
      <c r="Q66" s="384">
        <f t="shared" si="7"/>
        <v>0.35294117647058826</v>
      </c>
      <c r="R66" s="354"/>
      <c r="S66" s="330"/>
      <c r="T66" s="330"/>
      <c r="U66" s="354"/>
      <c r="V66" s="354"/>
      <c r="W66" s="354"/>
      <c r="X66" s="354"/>
      <c r="Y66" s="354"/>
      <c r="Z66" s="354"/>
      <c r="AD66" s="381"/>
      <c r="AL66" s="309"/>
      <c r="AO66" s="61"/>
      <c r="AQ66" s="59"/>
      <c r="AR66" s="59"/>
      <c r="AT66" s="61"/>
      <c r="AX66" s="296"/>
      <c r="AZ66" s="296"/>
    </row>
    <row r="67" spans="1:59" s="68" customFormat="1" ht="12.5" x14ac:dyDescent="0.25">
      <c r="A67" s="343" t="s">
        <v>88</v>
      </c>
      <c r="B67" s="323">
        <f>COUNT($S$4:$S$54)</f>
        <v>22</v>
      </c>
      <c r="C67" s="321">
        <f t="shared" si="2"/>
        <v>0.44</v>
      </c>
      <c r="D67" s="57">
        <f>COUNTIF($S$4:$S$54,"&gt;3")</f>
        <v>21</v>
      </c>
      <c r="E67" s="90">
        <f t="shared" si="3"/>
        <v>0.42</v>
      </c>
      <c r="F67" s="360">
        <f>COUNTIF($S$4:$S$54,"&gt;5")</f>
        <v>8</v>
      </c>
      <c r="G67" s="384">
        <f t="shared" si="4"/>
        <v>0.16</v>
      </c>
      <c r="H67" s="354"/>
      <c r="J67" s="486" t="s">
        <v>88</v>
      </c>
      <c r="K67" s="487"/>
      <c r="L67" s="360">
        <f>COUNT($T$4:$T$54)</f>
        <v>21</v>
      </c>
      <c r="M67" s="384">
        <f t="shared" si="5"/>
        <v>0.41176470588235292</v>
      </c>
      <c r="N67" s="360">
        <f>COUNTIF($T$4:$T$54, "&gt;3")</f>
        <v>12</v>
      </c>
      <c r="O67" s="384">
        <f t="shared" si="6"/>
        <v>0.23529411764705882</v>
      </c>
      <c r="P67" s="360">
        <f>COUNTIF($T$4:$T$54, "&gt;5")</f>
        <v>4</v>
      </c>
      <c r="Q67" s="384">
        <f t="shared" si="7"/>
        <v>7.8431372549019607E-2</v>
      </c>
      <c r="R67" s="354"/>
      <c r="S67" s="354"/>
      <c r="T67" s="354"/>
      <c r="U67" s="354"/>
      <c r="V67" s="354"/>
      <c r="W67" s="354"/>
      <c r="X67" s="354"/>
      <c r="Y67" s="354"/>
      <c r="Z67" s="354"/>
      <c r="AD67" s="381"/>
      <c r="AL67" s="309"/>
      <c r="AO67" s="61"/>
      <c r="AQ67" s="59"/>
      <c r="AR67" s="59"/>
      <c r="AT67" s="61"/>
      <c r="AX67" s="296"/>
      <c r="AZ67" s="296"/>
    </row>
    <row r="68" spans="1:59" s="68" customFormat="1" ht="12.5" x14ac:dyDescent="0.25">
      <c r="A68" s="343" t="s">
        <v>89</v>
      </c>
      <c r="B68" s="323">
        <f>COUNT($U$4:$U$54)</f>
        <v>27</v>
      </c>
      <c r="C68" s="321">
        <f t="shared" si="2"/>
        <v>0.54</v>
      </c>
      <c r="D68" s="57">
        <f>COUNTIF($U$4:$U$54,"&gt;3")</f>
        <v>24</v>
      </c>
      <c r="E68" s="90">
        <f t="shared" si="3"/>
        <v>0.48</v>
      </c>
      <c r="F68" s="360">
        <f>COUNTIF($U$4:$U$54,"&gt;5")</f>
        <v>11</v>
      </c>
      <c r="G68" s="384">
        <f t="shared" si="4"/>
        <v>0.22</v>
      </c>
      <c r="H68" s="354"/>
      <c r="J68" s="486" t="s">
        <v>89</v>
      </c>
      <c r="K68" s="487"/>
      <c r="L68" s="360">
        <f>COUNT($V$4:$V$54)</f>
        <v>27</v>
      </c>
      <c r="M68" s="384">
        <f t="shared" si="5"/>
        <v>0.52941176470588236</v>
      </c>
      <c r="N68" s="360">
        <f>COUNTIF($V$4:$V$54, "&gt;3")</f>
        <v>16</v>
      </c>
      <c r="O68" s="384">
        <f t="shared" si="6"/>
        <v>0.31372549019607843</v>
      </c>
      <c r="P68" s="360">
        <f>COUNTIF($V$4:$V$54, "&gt;5")</f>
        <v>7</v>
      </c>
      <c r="Q68" s="384">
        <f t="shared" si="7"/>
        <v>0.13725490196078433</v>
      </c>
      <c r="R68" s="354"/>
      <c r="S68" s="354"/>
      <c r="T68" s="354"/>
      <c r="U68" s="354"/>
      <c r="V68" s="354"/>
      <c r="W68" s="354"/>
      <c r="X68" s="354"/>
      <c r="Y68" s="354"/>
      <c r="Z68" s="354"/>
      <c r="AD68" s="381"/>
      <c r="AL68" s="309"/>
      <c r="AO68" s="61"/>
      <c r="AQ68" s="59"/>
      <c r="AR68" s="59"/>
      <c r="AT68" s="61"/>
      <c r="AX68" s="296"/>
      <c r="AZ68" s="296"/>
    </row>
    <row r="69" spans="1:59" x14ac:dyDescent="0.35">
      <c r="A69" s="353" t="s">
        <v>816</v>
      </c>
      <c r="B69" s="323">
        <f>COUNT($W$4:$W$54)</f>
        <v>27</v>
      </c>
      <c r="C69" s="321">
        <f t="shared" si="2"/>
        <v>0.54</v>
      </c>
      <c r="D69" s="57">
        <f>COUNTIF($W$4:$W$54,"&gt;3")</f>
        <v>5</v>
      </c>
      <c r="E69" s="90">
        <f t="shared" si="3"/>
        <v>0.1</v>
      </c>
      <c r="F69" s="360">
        <f>COUNTIF($W$4:$W$54,"&gt;5")</f>
        <v>2</v>
      </c>
      <c r="G69" s="384">
        <f t="shared" si="4"/>
        <v>0.04</v>
      </c>
      <c r="J69" s="480" t="s">
        <v>816</v>
      </c>
      <c r="K69" s="480"/>
      <c r="L69" s="360">
        <f>COUNT($X$4:$X$54)</f>
        <v>31</v>
      </c>
      <c r="M69" s="384">
        <f t="shared" si="5"/>
        <v>0.60784313725490191</v>
      </c>
      <c r="N69" s="360">
        <f>COUNTIF($X$4:$X$54,"&gt;3")</f>
        <v>3</v>
      </c>
      <c r="O69" s="384">
        <f t="shared" si="6"/>
        <v>5.8823529411764705E-2</v>
      </c>
      <c r="P69" s="360">
        <f>COUNTIF($X$4:$X$54,"&gt;5")</f>
        <v>1</v>
      </c>
      <c r="Q69" s="384">
        <f t="shared" si="7"/>
        <v>1.9607843137254902E-2</v>
      </c>
      <c r="AI69" s="1"/>
      <c r="AK69" s="446"/>
      <c r="AL69" s="299"/>
      <c r="AN69" s="1"/>
      <c r="AO69" s="7"/>
      <c r="AQ69" s="3"/>
      <c r="AR69" s="3"/>
      <c r="AS69" s="1"/>
      <c r="AT69" s="61"/>
      <c r="AV69" s="1"/>
      <c r="AX69" s="235"/>
      <c r="AY69" s="1"/>
      <c r="AZ69" s="235"/>
      <c r="BA69" s="1"/>
      <c r="BE69" s="1"/>
      <c r="BG69" s="1"/>
    </row>
    <row r="70" spans="1:59" s="68" customFormat="1" ht="12.5" x14ac:dyDescent="0.25">
      <c r="A70" s="343" t="s">
        <v>817</v>
      </c>
      <c r="B70" s="323">
        <f>COUNT($Y$4:$Y$54)</f>
        <v>27</v>
      </c>
      <c r="C70" s="321">
        <f t="shared" si="2"/>
        <v>0.54</v>
      </c>
      <c r="D70" s="57">
        <f>COUNTIF($Y$4:$Y$54,"&gt;3")</f>
        <v>1</v>
      </c>
      <c r="E70" s="90">
        <f t="shared" si="3"/>
        <v>0.02</v>
      </c>
      <c r="F70" s="360">
        <f>COUNTIF($Y$4:$Y$54,"&gt;5")</f>
        <v>0</v>
      </c>
      <c r="G70" s="384">
        <f t="shared" si="4"/>
        <v>0</v>
      </c>
      <c r="H70" s="354"/>
      <c r="J70" s="481" t="s">
        <v>817</v>
      </c>
      <c r="K70" s="481"/>
      <c r="L70" s="360">
        <f>COUNT($Z$4:$Z$54)</f>
        <v>30</v>
      </c>
      <c r="M70" s="384">
        <f t="shared" si="5"/>
        <v>0.58823529411764708</v>
      </c>
      <c r="N70" s="360">
        <f>COUNTIF($Z$4:$Z$54,"&gt;3")</f>
        <v>4</v>
      </c>
      <c r="O70" s="384">
        <f t="shared" si="6"/>
        <v>7.8431372549019607E-2</v>
      </c>
      <c r="P70" s="360">
        <f>COUNTIF($Z$4:$Z$54,"&gt;5")</f>
        <v>0</v>
      </c>
      <c r="Q70" s="384">
        <f t="shared" si="7"/>
        <v>0</v>
      </c>
      <c r="R70" s="354"/>
      <c r="S70" s="354"/>
      <c r="T70" s="354"/>
      <c r="U70" s="354"/>
      <c r="V70" s="354"/>
      <c r="W70" s="354"/>
      <c r="X70" s="354"/>
      <c r="Y70" s="354"/>
      <c r="Z70" s="354"/>
      <c r="AD70" s="381"/>
      <c r="AL70" s="309"/>
      <c r="AO70" s="61"/>
      <c r="AQ70" s="59"/>
      <c r="AR70" s="59"/>
      <c r="AT70" s="61"/>
      <c r="AX70" s="296"/>
      <c r="AZ70" s="296"/>
    </row>
    <row r="71" spans="1:59" s="68" customFormat="1" ht="12.5" x14ac:dyDescent="0.25">
      <c r="A71" s="343" t="s">
        <v>90</v>
      </c>
      <c r="B71" s="323">
        <f>COUNT($AA$4:$AA$54)</f>
        <v>41</v>
      </c>
      <c r="C71" s="321">
        <f>B71/50</f>
        <v>0.82</v>
      </c>
      <c r="D71" s="57">
        <f>COUNTIF($AA$4:$AA$54,"&gt;3")</f>
        <v>21</v>
      </c>
      <c r="E71" s="90">
        <f>D71/50</f>
        <v>0.42</v>
      </c>
      <c r="F71" s="360">
        <f>COUNTIF($AA$4:$AA$54,"&gt;5")</f>
        <v>6</v>
      </c>
      <c r="G71" s="384">
        <f>F71/50</f>
        <v>0.12</v>
      </c>
      <c r="H71" s="354"/>
      <c r="J71" s="385" t="s">
        <v>90</v>
      </c>
      <c r="K71" s="385"/>
      <c r="L71" s="360">
        <f>COUNT($AB$4:$AB$54)</f>
        <v>37</v>
      </c>
      <c r="M71" s="384">
        <f>L71/51</f>
        <v>0.72549019607843135</v>
      </c>
      <c r="N71" s="360">
        <f>COUNTIF($AB$4:$AB$54, "&gt;3")</f>
        <v>9</v>
      </c>
      <c r="O71" s="384">
        <f>N71/51</f>
        <v>0.17647058823529413</v>
      </c>
      <c r="P71" s="360">
        <f>COUNTIF($AB$4:$AB$54, "&gt;5")</f>
        <v>2</v>
      </c>
      <c r="Q71" s="384">
        <f>P71/51</f>
        <v>3.9215686274509803E-2</v>
      </c>
      <c r="R71" s="354"/>
      <c r="S71" s="354"/>
      <c r="T71" s="354"/>
      <c r="U71" s="354"/>
      <c r="V71" s="354"/>
      <c r="W71" s="354"/>
      <c r="X71" s="354"/>
      <c r="Y71" s="354"/>
      <c r="Z71" s="354"/>
      <c r="AD71" s="381"/>
      <c r="AL71" s="309"/>
      <c r="AO71" s="61"/>
      <c r="AQ71" s="59"/>
      <c r="AR71" s="59"/>
      <c r="AT71" s="61"/>
      <c r="AX71" s="296"/>
      <c r="AZ71" s="296"/>
    </row>
    <row r="72" spans="1:59" s="68" customFormat="1" ht="12.5" x14ac:dyDescent="0.25">
      <c r="A72" s="348"/>
      <c r="B72" s="349"/>
      <c r="C72" s="350"/>
      <c r="D72" s="351"/>
      <c r="E72" s="352"/>
      <c r="F72" s="387"/>
      <c r="G72" s="388"/>
      <c r="H72" s="354"/>
      <c r="J72" s="386"/>
      <c r="K72" s="386"/>
      <c r="L72" s="387"/>
      <c r="M72" s="388"/>
      <c r="N72" s="387"/>
      <c r="O72" s="388"/>
      <c r="P72" s="387"/>
      <c r="Q72" s="388"/>
      <c r="R72" s="354"/>
      <c r="S72" s="354"/>
      <c r="T72" s="354"/>
      <c r="U72" s="354"/>
      <c r="V72" s="354"/>
      <c r="W72" s="354"/>
      <c r="X72" s="354"/>
      <c r="Y72" s="354"/>
      <c r="Z72" s="354"/>
      <c r="AD72" s="381"/>
      <c r="AL72" s="309"/>
      <c r="AO72" s="61"/>
      <c r="AQ72" s="59"/>
      <c r="AR72" s="59"/>
      <c r="AT72" s="61"/>
      <c r="AX72" s="296"/>
      <c r="AZ72" s="296"/>
    </row>
    <row r="73" spans="1:59" s="68" customFormat="1" ht="14" x14ac:dyDescent="0.3">
      <c r="A73" s="60"/>
      <c r="B73" s="324"/>
      <c r="C73" s="60"/>
      <c r="D73" s="60"/>
      <c r="E73" s="60"/>
      <c r="F73" s="362"/>
      <c r="G73" s="434"/>
      <c r="H73" s="362"/>
      <c r="I73" s="59"/>
      <c r="J73" s="362"/>
      <c r="K73" s="389"/>
      <c r="L73" s="362"/>
      <c r="M73" s="389"/>
      <c r="N73" s="390"/>
      <c r="O73" s="390"/>
      <c r="P73" s="390"/>
      <c r="Q73" s="391"/>
      <c r="R73" s="363"/>
      <c r="S73" s="349"/>
      <c r="T73" s="350"/>
      <c r="U73" s="351"/>
      <c r="V73" s="352"/>
      <c r="W73" s="351"/>
      <c r="X73" s="352"/>
      <c r="Y73" s="419"/>
      <c r="Z73" s="419"/>
      <c r="AA73" s="420"/>
      <c r="AB73" s="420"/>
      <c r="AC73" s="420"/>
      <c r="AD73" s="430"/>
      <c r="AE73" s="421"/>
      <c r="AF73" s="325"/>
      <c r="AG73" s="325"/>
      <c r="AH73" s="325"/>
      <c r="AL73" s="309"/>
      <c r="AQ73" s="59"/>
      <c r="AR73" s="59"/>
      <c r="AT73" s="61"/>
      <c r="AX73" s="296"/>
      <c r="AZ73" s="296"/>
    </row>
    <row r="74" spans="1:59" s="68" customFormat="1" ht="15.5" customHeight="1" x14ac:dyDescent="0.25">
      <c r="A74" s="113" t="s">
        <v>30</v>
      </c>
      <c r="B74" s="323" t="s">
        <v>3</v>
      </c>
      <c r="C74" s="57" t="s">
        <v>33</v>
      </c>
      <c r="D74" s="57" t="s">
        <v>34</v>
      </c>
      <c r="E74" s="57" t="s">
        <v>4</v>
      </c>
      <c r="F74" s="360" t="s">
        <v>35</v>
      </c>
      <c r="G74" s="360" t="s">
        <v>36</v>
      </c>
      <c r="H74" s="424" t="s">
        <v>20</v>
      </c>
      <c r="I74" s="342" t="s">
        <v>37</v>
      </c>
      <c r="J74" s="382" t="s">
        <v>38</v>
      </c>
      <c r="K74" s="382" t="s">
        <v>40</v>
      </c>
      <c r="L74" s="382" t="s">
        <v>39</v>
      </c>
      <c r="M74" s="382" t="s">
        <v>41</v>
      </c>
      <c r="N74" s="354"/>
      <c r="O74" s="354"/>
      <c r="P74" s="354"/>
      <c r="Q74" s="354"/>
      <c r="R74" s="348"/>
      <c r="S74" s="349"/>
      <c r="T74" s="350"/>
      <c r="U74" s="351"/>
      <c r="V74" s="352"/>
      <c r="W74" s="351"/>
      <c r="X74" s="352"/>
      <c r="Y74" s="330"/>
      <c r="Z74" s="330"/>
      <c r="AA74" s="422"/>
      <c r="AB74" s="422"/>
      <c r="AC74" s="422"/>
      <c r="AD74" s="419"/>
      <c r="AE74" s="422"/>
      <c r="AI74" s="443"/>
      <c r="AN74" s="59"/>
      <c r="AS74" s="309"/>
      <c r="AX74" s="59"/>
      <c r="AY74" s="59"/>
      <c r="BA74" s="61"/>
      <c r="BE74" s="296"/>
      <c r="BG74" s="296"/>
    </row>
    <row r="75" spans="1:59" s="68" customFormat="1" ht="14" customHeight="1" x14ac:dyDescent="0.25">
      <c r="A75" s="343" t="s">
        <v>812</v>
      </c>
      <c r="B75" s="304">
        <f>COUNT($E$4:$E$54)</f>
        <v>49</v>
      </c>
      <c r="C75" s="82">
        <f>COUNTIF($E$4:$E$54, "&gt;1")</f>
        <v>49</v>
      </c>
      <c r="D75" s="82">
        <f>COUNTIF($E$4:$E$54, "&gt;2")</f>
        <v>49</v>
      </c>
      <c r="E75" s="82">
        <f>COUNTIF($E$4:$E$54, "&gt;3")</f>
        <v>45</v>
      </c>
      <c r="F75" s="383">
        <f>COUNTIF($E$4:$E$54, "&gt;4")</f>
        <v>33</v>
      </c>
      <c r="G75" s="383">
        <f>COUNTIF($E$4:$E$54, "&gt;5")</f>
        <v>21</v>
      </c>
      <c r="H75" s="392">
        <f t="shared" ref="H75:H83" si="8">B75/B75</f>
        <v>1</v>
      </c>
      <c r="I75" s="326">
        <f t="shared" ref="I75:I84" si="9">C75/B75</f>
        <v>1</v>
      </c>
      <c r="J75" s="392">
        <f t="shared" ref="J75:J84" si="10">D75/B75</f>
        <v>1</v>
      </c>
      <c r="K75" s="392">
        <f t="shared" ref="K75:K84" si="11">E75/B75</f>
        <v>0.91836734693877553</v>
      </c>
      <c r="L75" s="392">
        <f t="shared" ref="L75:L84" si="12">F75/B75</f>
        <v>0.67346938775510201</v>
      </c>
      <c r="M75" s="392">
        <f t="shared" ref="M75:M83" si="13">G75/B75</f>
        <v>0.42857142857142855</v>
      </c>
      <c r="N75" s="354"/>
      <c r="O75" s="354"/>
      <c r="P75" s="354"/>
      <c r="Q75" s="354"/>
      <c r="R75" s="330"/>
      <c r="S75" s="387"/>
      <c r="T75" s="388"/>
      <c r="U75" s="387"/>
      <c r="V75" s="388"/>
      <c r="W75" s="387"/>
      <c r="X75" s="388"/>
      <c r="Y75" s="330"/>
      <c r="Z75" s="330"/>
      <c r="AA75" s="422"/>
      <c r="AB75" s="422"/>
      <c r="AC75" s="422"/>
      <c r="AD75" s="419"/>
      <c r="AE75" s="422"/>
      <c r="AI75" s="443"/>
      <c r="AN75" s="59"/>
      <c r="AS75" s="309"/>
      <c r="AX75" s="59"/>
      <c r="AY75" s="59"/>
      <c r="BA75" s="61"/>
      <c r="BE75" s="296"/>
      <c r="BG75" s="296"/>
    </row>
    <row r="76" spans="1:59" s="68" customFormat="1" ht="12.5" x14ac:dyDescent="0.25">
      <c r="A76" s="343" t="s">
        <v>44</v>
      </c>
      <c r="B76" s="304">
        <f>COUNT($G$4:$G$54)</f>
        <v>39</v>
      </c>
      <c r="C76" s="82">
        <f>COUNTIF($G$4:$G$54, "&gt;1")</f>
        <v>28</v>
      </c>
      <c r="D76" s="82">
        <f>COUNTIF($G$4:$G$54, "&gt;2")</f>
        <v>12</v>
      </c>
      <c r="E76" s="82">
        <f>COUNTIF($G$4:$G$54, "&gt;3")</f>
        <v>6</v>
      </c>
      <c r="F76" s="383">
        <f>COUNTIF($G$4:$G$54, "&gt;4")</f>
        <v>5</v>
      </c>
      <c r="G76" s="383">
        <f>COUNTIF($G$4:$G$54, "&gt;5")</f>
        <v>1</v>
      </c>
      <c r="H76" s="392">
        <f t="shared" si="8"/>
        <v>1</v>
      </c>
      <c r="I76" s="326">
        <f t="shared" si="9"/>
        <v>0.71794871794871795</v>
      </c>
      <c r="J76" s="392">
        <f t="shared" si="10"/>
        <v>0.30769230769230771</v>
      </c>
      <c r="K76" s="392">
        <f t="shared" si="11"/>
        <v>0.15384615384615385</v>
      </c>
      <c r="L76" s="392">
        <f t="shared" si="12"/>
        <v>0.12820512820512819</v>
      </c>
      <c r="M76" s="392">
        <f t="shared" si="13"/>
        <v>2.564102564102564E-2</v>
      </c>
      <c r="N76" s="354"/>
      <c r="O76" s="354"/>
      <c r="P76" s="354"/>
      <c r="Q76" s="354"/>
      <c r="R76" s="330"/>
      <c r="S76" s="387"/>
      <c r="T76" s="388"/>
      <c r="U76" s="387"/>
      <c r="V76" s="388"/>
      <c r="W76" s="387"/>
      <c r="X76" s="388"/>
      <c r="Y76" s="330"/>
      <c r="Z76" s="330"/>
      <c r="AA76" s="422"/>
      <c r="AB76" s="422"/>
      <c r="AC76" s="422"/>
      <c r="AD76" s="419"/>
      <c r="AE76" s="422"/>
      <c r="AI76" s="443"/>
      <c r="AN76" s="59"/>
      <c r="AS76" s="309"/>
      <c r="AX76" s="59"/>
      <c r="AY76" s="59"/>
      <c r="BA76" s="61"/>
      <c r="BE76" s="296"/>
      <c r="BG76" s="296"/>
    </row>
    <row r="77" spans="1:59" s="68" customFormat="1" ht="12.5" x14ac:dyDescent="0.25">
      <c r="A77" s="343" t="s">
        <v>811</v>
      </c>
      <c r="B77" s="304">
        <f>COUNT($I$4:$I$54)</f>
        <v>43</v>
      </c>
      <c r="C77" s="82">
        <f>COUNTIF($I$4:$I$54,"&gt;1")</f>
        <v>41</v>
      </c>
      <c r="D77" s="82">
        <f>COUNTIF($I$4:$I$54,"&gt;2")</f>
        <v>37</v>
      </c>
      <c r="E77" s="82">
        <f>COUNTIF($I$4:$I$54,"&gt;3")</f>
        <v>27</v>
      </c>
      <c r="F77" s="383">
        <f>COUNTIF($I$4:$I$54,"&gt;4")</f>
        <v>14</v>
      </c>
      <c r="G77" s="383">
        <f>COUNTIF($I$4:$I$54,"&gt;5")</f>
        <v>6</v>
      </c>
      <c r="H77" s="392">
        <f t="shared" si="8"/>
        <v>1</v>
      </c>
      <c r="I77" s="326">
        <f t="shared" si="9"/>
        <v>0.95348837209302328</v>
      </c>
      <c r="J77" s="392">
        <f t="shared" si="10"/>
        <v>0.86046511627906974</v>
      </c>
      <c r="K77" s="392">
        <f t="shared" si="11"/>
        <v>0.62790697674418605</v>
      </c>
      <c r="L77" s="392">
        <f t="shared" si="12"/>
        <v>0.32558139534883723</v>
      </c>
      <c r="M77" s="392">
        <f t="shared" si="13"/>
        <v>0.13953488372093023</v>
      </c>
      <c r="N77" s="354"/>
      <c r="O77" s="354"/>
      <c r="P77" s="354"/>
      <c r="Q77" s="354"/>
      <c r="R77" s="330"/>
      <c r="S77" s="330"/>
      <c r="T77" s="330"/>
      <c r="U77" s="330"/>
      <c r="V77" s="330"/>
      <c r="W77" s="330"/>
      <c r="X77" s="330"/>
      <c r="Y77" s="330"/>
      <c r="Z77" s="330"/>
      <c r="AA77" s="422"/>
      <c r="AB77" s="422"/>
      <c r="AC77" s="422"/>
      <c r="AD77" s="419"/>
      <c r="AE77" s="422"/>
      <c r="AI77" s="443"/>
      <c r="AN77" s="59"/>
      <c r="AS77" s="309"/>
      <c r="AX77" s="59"/>
      <c r="AY77" s="59"/>
      <c r="BA77" s="61"/>
      <c r="BE77" s="296"/>
      <c r="BG77" s="296"/>
    </row>
    <row r="78" spans="1:59" s="68" customFormat="1" ht="12.5" x14ac:dyDescent="0.25">
      <c r="A78" s="343" t="s">
        <v>26</v>
      </c>
      <c r="B78" s="304">
        <f>COUNT($K$4:$K$54)</f>
        <v>45</v>
      </c>
      <c r="C78" s="82">
        <f>COUNTIF($K$4:$K$54,"&gt;1")</f>
        <v>44</v>
      </c>
      <c r="D78" s="82">
        <f>COUNTIF($K$4:$K$54,"&gt;2")</f>
        <v>43</v>
      </c>
      <c r="E78" s="82">
        <f>COUNTIF($K$4:$K$54,"&gt;3")</f>
        <v>33</v>
      </c>
      <c r="F78" s="383">
        <f>COUNTIF($K$4:$K$54,"&gt;4")</f>
        <v>21</v>
      </c>
      <c r="G78" s="383">
        <f>COUNTIF($K$4:$K$54,"&gt;5")</f>
        <v>11</v>
      </c>
      <c r="H78" s="392">
        <f t="shared" si="8"/>
        <v>1</v>
      </c>
      <c r="I78" s="326">
        <f t="shared" si="9"/>
        <v>0.97777777777777775</v>
      </c>
      <c r="J78" s="392">
        <f t="shared" si="10"/>
        <v>0.9555555555555556</v>
      </c>
      <c r="K78" s="392">
        <f t="shared" si="11"/>
        <v>0.73333333333333328</v>
      </c>
      <c r="L78" s="392">
        <f t="shared" si="12"/>
        <v>0.46666666666666667</v>
      </c>
      <c r="M78" s="392">
        <f t="shared" si="13"/>
        <v>0.24444444444444444</v>
      </c>
      <c r="N78" s="354"/>
      <c r="O78" s="354"/>
      <c r="P78" s="354"/>
      <c r="Q78" s="354"/>
      <c r="R78" s="330"/>
      <c r="S78" s="330"/>
      <c r="T78" s="330"/>
      <c r="U78" s="330"/>
      <c r="V78" s="330"/>
      <c r="W78" s="330"/>
      <c r="X78" s="330"/>
      <c r="Y78" s="330"/>
      <c r="Z78" s="330"/>
      <c r="AA78" s="422"/>
      <c r="AB78" s="422"/>
      <c r="AC78" s="422"/>
      <c r="AD78" s="419"/>
      <c r="AE78" s="422"/>
      <c r="AI78" s="443"/>
      <c r="AN78" s="59"/>
      <c r="AS78" s="309"/>
      <c r="AX78" s="59"/>
      <c r="AY78" s="59"/>
      <c r="BA78" s="61"/>
      <c r="BE78" s="296"/>
      <c r="BG78" s="296"/>
    </row>
    <row r="79" spans="1:59" s="68" customFormat="1" ht="12.5" x14ac:dyDescent="0.25">
      <c r="A79" s="343" t="s">
        <v>27</v>
      </c>
      <c r="B79" s="304">
        <f>COUNT($M$4:$M$54)</f>
        <v>50</v>
      </c>
      <c r="C79" s="82">
        <f>COUNTIF($M$4:$M$54,"&gt;1")</f>
        <v>50</v>
      </c>
      <c r="D79" s="82">
        <f>COUNTIF($M$4:$M$54,"&gt;2")</f>
        <v>50</v>
      </c>
      <c r="E79" s="82">
        <f>COUNTIF($M$4:$M$54,"&gt;3")</f>
        <v>41</v>
      </c>
      <c r="F79" s="383">
        <f>COUNTIF($M$4:$M$54,"&gt;4")</f>
        <v>29</v>
      </c>
      <c r="G79" s="383">
        <f>COUNTIF($M$4:$M$54,"&gt;5")</f>
        <v>16</v>
      </c>
      <c r="H79" s="392">
        <f t="shared" si="8"/>
        <v>1</v>
      </c>
      <c r="I79" s="326">
        <f t="shared" si="9"/>
        <v>1</v>
      </c>
      <c r="J79" s="392">
        <f t="shared" si="10"/>
        <v>1</v>
      </c>
      <c r="K79" s="392">
        <f t="shared" si="11"/>
        <v>0.82</v>
      </c>
      <c r="L79" s="392">
        <f t="shared" si="12"/>
        <v>0.57999999999999996</v>
      </c>
      <c r="M79" s="392">
        <f t="shared" si="13"/>
        <v>0.32</v>
      </c>
      <c r="N79" s="354"/>
      <c r="O79" s="354"/>
      <c r="P79" s="354"/>
      <c r="Q79" s="354"/>
      <c r="R79" s="330"/>
      <c r="S79" s="330"/>
      <c r="T79" s="330"/>
      <c r="U79" s="330"/>
      <c r="V79" s="330"/>
      <c r="W79" s="330"/>
      <c r="X79" s="330"/>
      <c r="Y79" s="330"/>
      <c r="Z79" s="330"/>
      <c r="AA79" s="422"/>
      <c r="AB79" s="330"/>
      <c r="AC79" s="422"/>
      <c r="AD79" s="419"/>
      <c r="AE79" s="422"/>
      <c r="AI79" s="443"/>
      <c r="AN79" s="59"/>
      <c r="AS79" s="309"/>
      <c r="AX79" s="59"/>
      <c r="AY79" s="59"/>
      <c r="BA79" s="61"/>
      <c r="BE79" s="296"/>
      <c r="BG79" s="296"/>
    </row>
    <row r="80" spans="1:59" s="68" customFormat="1" ht="12.5" x14ac:dyDescent="0.25">
      <c r="A80" s="343" t="s">
        <v>86</v>
      </c>
      <c r="B80" s="323">
        <f>COUNT($O$4:$O$54)</f>
        <v>49</v>
      </c>
      <c r="C80" s="57">
        <f>COUNTIF($O$4:$O$54,"&gt;1")</f>
        <v>49</v>
      </c>
      <c r="D80" s="57">
        <f>COUNTIF($O$4:$O$54,"&gt;2")</f>
        <v>49</v>
      </c>
      <c r="E80" s="57">
        <f>COUNTIF($O$4:$O$54,"&gt;3")</f>
        <v>44</v>
      </c>
      <c r="F80" s="360">
        <f>COUNTIF($O$4:$O$54,"&gt;4")</f>
        <v>35</v>
      </c>
      <c r="G80" s="360">
        <f>COUNTIF($O$4:$O$54,"&gt;5")</f>
        <v>22</v>
      </c>
      <c r="H80" s="392">
        <f t="shared" si="8"/>
        <v>1</v>
      </c>
      <c r="I80" s="326">
        <f t="shared" si="9"/>
        <v>1</v>
      </c>
      <c r="J80" s="392">
        <f t="shared" si="10"/>
        <v>1</v>
      </c>
      <c r="K80" s="392">
        <f t="shared" si="11"/>
        <v>0.89795918367346939</v>
      </c>
      <c r="L80" s="392">
        <f t="shared" si="12"/>
        <v>0.7142857142857143</v>
      </c>
      <c r="M80" s="392">
        <f t="shared" si="13"/>
        <v>0.44897959183673469</v>
      </c>
      <c r="N80" s="354"/>
      <c r="O80" s="354"/>
      <c r="P80" s="354"/>
      <c r="Q80" s="354"/>
      <c r="R80" s="330"/>
      <c r="S80" s="330"/>
      <c r="T80" s="330"/>
      <c r="U80" s="330"/>
      <c r="V80" s="330"/>
      <c r="W80" s="330"/>
      <c r="X80" s="330"/>
      <c r="Y80" s="330"/>
      <c r="Z80" s="330"/>
      <c r="AA80" s="422"/>
      <c r="AB80" s="330"/>
      <c r="AC80" s="422"/>
      <c r="AD80" s="419"/>
      <c r="AE80" s="422"/>
      <c r="AI80" s="443"/>
      <c r="AN80" s="59"/>
      <c r="AS80" s="309"/>
      <c r="AX80" s="59"/>
      <c r="AY80" s="59"/>
      <c r="BA80" s="61"/>
      <c r="BE80" s="296"/>
      <c r="BG80" s="296"/>
    </row>
    <row r="81" spans="1:59" s="68" customFormat="1" ht="12.5" x14ac:dyDescent="0.25">
      <c r="A81" s="343" t="s">
        <v>87</v>
      </c>
      <c r="B81" s="323">
        <f>COUNT($Q$4:$Q$54)</f>
        <v>50</v>
      </c>
      <c r="C81" s="57">
        <f>COUNTIF($Q$4:$Q$54,"&gt;1")</f>
        <v>50</v>
      </c>
      <c r="D81" s="57">
        <f>COUNTIF($Q$4:$Q$54,"&gt;2")</f>
        <v>50</v>
      </c>
      <c r="E81" s="57">
        <f>COUNTIF($Q$4:$Q$54,"&gt;3")</f>
        <v>48</v>
      </c>
      <c r="F81" s="360">
        <f>COUNTIF($Q$4:$Q$54,"&gt;4")</f>
        <v>41</v>
      </c>
      <c r="G81" s="360">
        <f>COUNTIF($Q$4:$Q$54,"&gt;5")</f>
        <v>26</v>
      </c>
      <c r="H81" s="392">
        <f t="shared" si="8"/>
        <v>1</v>
      </c>
      <c r="I81" s="326">
        <f t="shared" si="9"/>
        <v>1</v>
      </c>
      <c r="J81" s="392">
        <f t="shared" si="10"/>
        <v>1</v>
      </c>
      <c r="K81" s="392">
        <f t="shared" si="11"/>
        <v>0.96</v>
      </c>
      <c r="L81" s="392">
        <f t="shared" si="12"/>
        <v>0.82</v>
      </c>
      <c r="M81" s="392">
        <f t="shared" si="13"/>
        <v>0.52</v>
      </c>
      <c r="N81" s="354"/>
      <c r="O81" s="354"/>
      <c r="P81" s="354"/>
      <c r="Q81" s="354"/>
      <c r="R81" s="330"/>
      <c r="S81" s="330"/>
      <c r="T81" s="330"/>
      <c r="U81" s="330"/>
      <c r="V81" s="330"/>
      <c r="W81" s="330"/>
      <c r="X81" s="330"/>
      <c r="Y81" s="330"/>
      <c r="Z81" s="330"/>
      <c r="AA81" s="422"/>
      <c r="AB81" s="330"/>
      <c r="AC81" s="422"/>
      <c r="AD81" s="419"/>
      <c r="AE81" s="422"/>
      <c r="AI81" s="443"/>
      <c r="AN81" s="59"/>
      <c r="AS81" s="309"/>
      <c r="AX81" s="59"/>
      <c r="AY81" s="59"/>
      <c r="BA81" s="61"/>
      <c r="BE81" s="296"/>
      <c r="BG81" s="296"/>
    </row>
    <row r="82" spans="1:59" s="68" customFormat="1" ht="16.5" customHeight="1" x14ac:dyDescent="0.25">
      <c r="A82" s="344" t="s">
        <v>88</v>
      </c>
      <c r="B82" s="323">
        <f>COUNT($S$4:$S$54)</f>
        <v>22</v>
      </c>
      <c r="C82" s="57">
        <f>COUNTIF($S$4:$S$54,"&gt;1")</f>
        <v>22</v>
      </c>
      <c r="D82" s="57">
        <f>COUNTIF($S$4:$S$54,"&gt;2")</f>
        <v>22</v>
      </c>
      <c r="E82" s="57">
        <f>COUNTIF($S$4:$S$54,"&gt;3")</f>
        <v>21</v>
      </c>
      <c r="F82" s="360">
        <f>COUNTIF($S$4:$S$54,"&gt;4")</f>
        <v>14</v>
      </c>
      <c r="G82" s="360">
        <f>COUNTIF($S$4:$S$54,"&gt;5")</f>
        <v>8</v>
      </c>
      <c r="H82" s="392">
        <f t="shared" si="8"/>
        <v>1</v>
      </c>
      <c r="I82" s="326">
        <f t="shared" si="9"/>
        <v>1</v>
      </c>
      <c r="J82" s="392">
        <f t="shared" si="10"/>
        <v>1</v>
      </c>
      <c r="K82" s="392">
        <f t="shared" si="11"/>
        <v>0.95454545454545459</v>
      </c>
      <c r="L82" s="392">
        <f t="shared" si="12"/>
        <v>0.63636363636363635</v>
      </c>
      <c r="M82" s="392">
        <f t="shared" si="13"/>
        <v>0.36363636363636365</v>
      </c>
      <c r="N82" s="354"/>
      <c r="O82" s="354"/>
      <c r="P82" s="354"/>
      <c r="Q82" s="354"/>
      <c r="R82" s="330"/>
      <c r="S82" s="330"/>
      <c r="T82" s="330"/>
      <c r="U82" s="330"/>
      <c r="V82" s="330"/>
      <c r="W82" s="330"/>
      <c r="X82" s="330"/>
      <c r="Y82" s="330"/>
      <c r="Z82" s="330"/>
      <c r="AA82" s="422"/>
      <c r="AB82" s="330"/>
      <c r="AC82" s="422"/>
      <c r="AD82" s="419"/>
      <c r="AE82" s="422"/>
      <c r="AI82" s="443"/>
      <c r="AN82" s="59"/>
      <c r="AS82" s="309"/>
      <c r="AX82" s="59"/>
      <c r="AY82" s="59"/>
      <c r="BA82" s="61"/>
      <c r="BE82" s="296"/>
      <c r="BG82" s="296"/>
    </row>
    <row r="83" spans="1:59" s="68" customFormat="1" ht="14" customHeight="1" x14ac:dyDescent="0.25">
      <c r="A83" s="344" t="s">
        <v>89</v>
      </c>
      <c r="B83" s="323">
        <f>COUNT($U$4:$U$54)</f>
        <v>27</v>
      </c>
      <c r="C83" s="57">
        <f>COUNTIF($U$4:$U$54,"&gt;1")</f>
        <v>27</v>
      </c>
      <c r="D83" s="57">
        <f>COUNTIF($U$4:$U$54,"&gt;2")</f>
        <v>27</v>
      </c>
      <c r="E83" s="57">
        <f>COUNTIF($U$4:$U$54,"&gt;3")</f>
        <v>24</v>
      </c>
      <c r="F83" s="360">
        <f>COUNTIF($U$4:$U$54,"&gt;4")</f>
        <v>18</v>
      </c>
      <c r="G83" s="360">
        <f>COUNTIF($U$4:$U$54,"&gt;5")</f>
        <v>11</v>
      </c>
      <c r="H83" s="392">
        <f t="shared" si="8"/>
        <v>1</v>
      </c>
      <c r="I83" s="326">
        <f t="shared" si="9"/>
        <v>1</v>
      </c>
      <c r="J83" s="392">
        <f t="shared" si="10"/>
        <v>1</v>
      </c>
      <c r="K83" s="392">
        <f t="shared" si="11"/>
        <v>0.88888888888888884</v>
      </c>
      <c r="L83" s="392">
        <f t="shared" si="12"/>
        <v>0.66666666666666663</v>
      </c>
      <c r="M83" s="392">
        <f t="shared" si="13"/>
        <v>0.40740740740740738</v>
      </c>
      <c r="N83" s="354"/>
      <c r="O83" s="354"/>
      <c r="P83" s="354"/>
      <c r="Q83" s="354"/>
      <c r="R83" s="330"/>
      <c r="S83" s="330"/>
      <c r="T83" s="330"/>
      <c r="U83" s="330"/>
      <c r="V83" s="330"/>
      <c r="W83" s="330"/>
      <c r="X83" s="330"/>
      <c r="Y83" s="330"/>
      <c r="Z83" s="330"/>
      <c r="AA83" s="422"/>
      <c r="AB83" s="422"/>
      <c r="AC83" s="422"/>
      <c r="AD83" s="419"/>
      <c r="AE83" s="422"/>
      <c r="AI83" s="443"/>
      <c r="AN83" s="59"/>
      <c r="AS83" s="309"/>
      <c r="AX83" s="59"/>
      <c r="AY83" s="59"/>
      <c r="BA83" s="61"/>
      <c r="BE83" s="296"/>
      <c r="BG83" s="296"/>
    </row>
    <row r="84" spans="1:59" s="68" customFormat="1" ht="14" customHeight="1" x14ac:dyDescent="0.3">
      <c r="A84" s="353" t="s">
        <v>816</v>
      </c>
      <c r="B84" s="323">
        <f>COUNT($U$4:$U$54)</f>
        <v>27</v>
      </c>
      <c r="C84" s="57">
        <f>COUNTIF($W$4:$W$54,"&gt;1")</f>
        <v>11</v>
      </c>
      <c r="D84" s="57">
        <f>COUNTIF($W$4:$W$54,"&gt;2")</f>
        <v>8</v>
      </c>
      <c r="E84" s="57">
        <f>COUNTIF($W$4:$W$54,"&gt;3")</f>
        <v>5</v>
      </c>
      <c r="F84" s="360">
        <f>COUNTIF($W$4:$W$54,"&gt;4")</f>
        <v>2</v>
      </c>
      <c r="G84" s="360">
        <f>COUNTIF($W$4:$W$54,"&gt;5")</f>
        <v>2</v>
      </c>
      <c r="H84" s="392">
        <f t="shared" ref="H84:H85" si="14">B84/B84</f>
        <v>1</v>
      </c>
      <c r="I84" s="326">
        <f t="shared" si="9"/>
        <v>0.40740740740740738</v>
      </c>
      <c r="J84" s="392">
        <f t="shared" si="10"/>
        <v>0.29629629629629628</v>
      </c>
      <c r="K84" s="392">
        <f t="shared" si="11"/>
        <v>0.18518518518518517</v>
      </c>
      <c r="L84" s="392">
        <f t="shared" si="12"/>
        <v>7.407407407407407E-2</v>
      </c>
      <c r="M84" s="392">
        <f t="shared" ref="M84:M85" si="15">G84/B84</f>
        <v>7.407407407407407E-2</v>
      </c>
      <c r="N84" s="354"/>
      <c r="O84" s="354"/>
      <c r="P84" s="354"/>
      <c r="Q84" s="354"/>
      <c r="R84" s="330"/>
      <c r="S84" s="330"/>
      <c r="T84" s="330"/>
      <c r="U84" s="330"/>
      <c r="V84" s="330"/>
      <c r="W84" s="330"/>
      <c r="X84" s="330"/>
      <c r="Y84" s="330"/>
      <c r="Z84" s="330"/>
      <c r="AA84" s="422"/>
      <c r="AB84" s="422"/>
      <c r="AC84" s="422"/>
      <c r="AD84" s="419"/>
      <c r="AE84" s="422"/>
      <c r="AI84" s="443"/>
      <c r="AN84" s="59"/>
      <c r="AS84" s="309"/>
      <c r="AX84" s="59"/>
      <c r="AY84" s="59"/>
      <c r="BA84" s="61"/>
      <c r="BE84" s="296"/>
      <c r="BG84" s="296"/>
    </row>
    <row r="85" spans="1:59" s="68" customFormat="1" ht="14" customHeight="1" x14ac:dyDescent="0.25">
      <c r="A85" s="343" t="s">
        <v>817</v>
      </c>
      <c r="B85" s="323">
        <f>COUNT($W$4:$W$54)</f>
        <v>27</v>
      </c>
      <c r="C85" s="57">
        <f>COUNTIF($Y$4:$Y$54,"&gt;1")</f>
        <v>13</v>
      </c>
      <c r="D85" s="57">
        <f>COUNTIF($Y$4:$Y$54,"&gt;2")</f>
        <v>4</v>
      </c>
      <c r="E85" s="57">
        <f>COUNTIF($Y$4:$Y$54,"&gt;3")</f>
        <v>1</v>
      </c>
      <c r="F85" s="360">
        <f>COUNTIF($Y$4:$Y$54,"&gt;4")</f>
        <v>0</v>
      </c>
      <c r="G85" s="360">
        <f>COUNTIF($Y$4:$Y$54,"&gt;5")</f>
        <v>0</v>
      </c>
      <c r="H85" s="392">
        <f t="shared" si="14"/>
        <v>1</v>
      </c>
      <c r="I85" s="326">
        <f t="shared" ref="I85" si="16">C85/B85</f>
        <v>0.48148148148148145</v>
      </c>
      <c r="J85" s="392">
        <f t="shared" ref="J85" si="17">D85/B85</f>
        <v>0.14814814814814814</v>
      </c>
      <c r="K85" s="392">
        <f t="shared" ref="K85" si="18">E85/B85</f>
        <v>3.7037037037037035E-2</v>
      </c>
      <c r="L85" s="392">
        <f t="shared" ref="L85" si="19">F85/B85</f>
        <v>0</v>
      </c>
      <c r="M85" s="392">
        <f t="shared" si="15"/>
        <v>0</v>
      </c>
      <c r="N85" s="354"/>
      <c r="O85" s="354"/>
      <c r="P85" s="354"/>
      <c r="Q85" s="354"/>
      <c r="R85" s="354"/>
      <c r="S85" s="354"/>
      <c r="T85" s="354"/>
      <c r="U85" s="354"/>
      <c r="V85" s="354"/>
      <c r="W85" s="354"/>
      <c r="X85" s="354"/>
      <c r="Y85" s="354"/>
      <c r="Z85" s="354"/>
      <c r="AD85" s="381"/>
      <c r="AI85" s="443"/>
      <c r="AN85" s="59"/>
      <c r="AS85" s="309"/>
      <c r="AX85" s="59"/>
      <c r="AY85" s="59"/>
      <c r="BA85" s="61"/>
      <c r="BE85" s="296"/>
      <c r="BG85" s="296"/>
    </row>
    <row r="86" spans="1:59" s="68" customFormat="1" ht="12.5" x14ac:dyDescent="0.25">
      <c r="A86" s="343" t="s">
        <v>90</v>
      </c>
      <c r="B86" s="323">
        <f>COUNT($AA$4:$AA$54)</f>
        <v>41</v>
      </c>
      <c r="C86" s="57">
        <f>COUNTIF($AA$4:$AA$54,"&gt;1")</f>
        <v>37</v>
      </c>
      <c r="D86" s="57">
        <f>COUNTIF($AA$4:$AA$54,"&gt;2")</f>
        <v>31</v>
      </c>
      <c r="E86" s="57">
        <f>COUNTIF($AA$4:$AA$54,"&gt;3")</f>
        <v>21</v>
      </c>
      <c r="F86" s="360">
        <f>COUNTIF($AA$4:$AA$54,"&gt;4")</f>
        <v>14</v>
      </c>
      <c r="G86" s="360">
        <f>COUNTIF($AA$4:$AA$54,"&gt;5")</f>
        <v>6</v>
      </c>
      <c r="H86" s="392">
        <f>B86/B86</f>
        <v>1</v>
      </c>
      <c r="I86" s="326">
        <f>C86/B86</f>
        <v>0.90243902439024393</v>
      </c>
      <c r="J86" s="392">
        <f>D86/B86</f>
        <v>0.75609756097560976</v>
      </c>
      <c r="K86" s="392">
        <f>E86/B86</f>
        <v>0.51219512195121952</v>
      </c>
      <c r="L86" s="392">
        <f>F86/B86</f>
        <v>0.34146341463414637</v>
      </c>
      <c r="M86" s="392">
        <f>G86/B86</f>
        <v>0.14634146341463414</v>
      </c>
      <c r="N86" s="354"/>
      <c r="O86" s="354"/>
      <c r="P86" s="354"/>
      <c r="Q86" s="354"/>
      <c r="R86" s="354"/>
      <c r="S86" s="354"/>
      <c r="T86" s="354"/>
      <c r="U86" s="354"/>
      <c r="V86" s="354"/>
      <c r="W86" s="354"/>
      <c r="X86" s="354"/>
      <c r="Y86" s="354"/>
      <c r="Z86" s="354"/>
      <c r="AD86" s="381"/>
      <c r="AI86" s="443"/>
      <c r="AN86" s="59"/>
      <c r="AS86" s="309"/>
      <c r="AX86" s="59"/>
      <c r="AY86" s="59"/>
      <c r="BA86" s="61"/>
      <c r="BE86" s="296"/>
      <c r="BG86" s="296"/>
    </row>
    <row r="87" spans="1:59" s="68" customFormat="1" ht="12.5" x14ac:dyDescent="0.25">
      <c r="A87" s="343" t="s">
        <v>91</v>
      </c>
      <c r="B87" s="323">
        <f>COUNT($AC$4:$AC$54)</f>
        <v>50</v>
      </c>
      <c r="C87" s="57">
        <f>COUNTIF($AC$4:$AC$54,"&gt;1")</f>
        <v>50</v>
      </c>
      <c r="D87" s="57">
        <f>COUNTIF($AC$4:$AC$54,"&gt;2")</f>
        <v>50</v>
      </c>
      <c r="E87" s="57">
        <f>COUNTIF($AC$4:$AC$54,"&gt;3")</f>
        <v>50</v>
      </c>
      <c r="F87" s="360">
        <f>COUNTIF($AC$4:$AC$54,"&gt;4")</f>
        <v>43</v>
      </c>
      <c r="G87" s="360">
        <f>COUNTIF($AC$4:$AC$54,"&gt;5")</f>
        <v>35</v>
      </c>
      <c r="H87" s="392">
        <f>B87/B87</f>
        <v>1</v>
      </c>
      <c r="I87" s="326">
        <f>C87/B87</f>
        <v>1</v>
      </c>
      <c r="J87" s="392">
        <f>D87/B87</f>
        <v>1</v>
      </c>
      <c r="K87" s="392">
        <f>E87/B87</f>
        <v>1</v>
      </c>
      <c r="L87" s="392">
        <f>F87/B87</f>
        <v>0.86</v>
      </c>
      <c r="M87" s="392">
        <f>G87/B87</f>
        <v>0.7</v>
      </c>
      <c r="N87" s="354"/>
      <c r="O87" s="354"/>
      <c r="P87" s="354"/>
      <c r="Q87" s="354"/>
      <c r="R87" s="354"/>
      <c r="S87" s="354"/>
      <c r="T87" s="354"/>
      <c r="U87" s="354"/>
      <c r="V87" s="354"/>
      <c r="W87" s="354"/>
      <c r="X87" s="354"/>
      <c r="Y87" s="354"/>
      <c r="Z87" s="354"/>
      <c r="AD87" s="381"/>
      <c r="AI87" s="443"/>
      <c r="AN87" s="59"/>
      <c r="AS87" s="309"/>
      <c r="AX87" s="59"/>
      <c r="AY87" s="59"/>
      <c r="BA87" s="61"/>
      <c r="BE87" s="296"/>
      <c r="BG87" s="296"/>
    </row>
    <row r="88" spans="1:59" s="68" customFormat="1" ht="12.5" x14ac:dyDescent="0.25">
      <c r="B88" s="309"/>
      <c r="D88" s="327"/>
      <c r="E88" s="328"/>
      <c r="F88" s="393"/>
      <c r="G88" s="393"/>
      <c r="H88" s="393"/>
      <c r="I88" s="328"/>
      <c r="J88" s="393"/>
      <c r="K88" s="394"/>
      <c r="L88" s="394"/>
      <c r="M88" s="394"/>
      <c r="N88" s="354"/>
      <c r="O88" s="354"/>
      <c r="P88" s="354"/>
      <c r="Q88" s="354"/>
      <c r="R88" s="354"/>
      <c r="S88" s="354"/>
      <c r="T88" s="354"/>
      <c r="U88" s="354"/>
      <c r="V88" s="354"/>
      <c r="W88" s="354"/>
      <c r="X88" s="354"/>
      <c r="Y88" s="354"/>
      <c r="Z88" s="354"/>
      <c r="AD88" s="381"/>
      <c r="AI88" s="443"/>
      <c r="AN88" s="59"/>
      <c r="AS88" s="309"/>
      <c r="AX88" s="59"/>
      <c r="AY88" s="59"/>
      <c r="BA88" s="61"/>
      <c r="BE88" s="296"/>
      <c r="BG88" s="296"/>
    </row>
    <row r="89" spans="1:59" s="68" customFormat="1" ht="14" customHeight="1" x14ac:dyDescent="0.25">
      <c r="A89" s="338" t="s">
        <v>29</v>
      </c>
      <c r="B89" s="323" t="s">
        <v>3</v>
      </c>
      <c r="C89" s="57" t="s">
        <v>33</v>
      </c>
      <c r="D89" s="57" t="s">
        <v>34</v>
      </c>
      <c r="E89" s="57" t="s">
        <v>4</v>
      </c>
      <c r="F89" s="360" t="s">
        <v>35</v>
      </c>
      <c r="G89" s="360" t="s">
        <v>36</v>
      </c>
      <c r="H89" s="424" t="s">
        <v>20</v>
      </c>
      <c r="I89" s="342" t="s">
        <v>37</v>
      </c>
      <c r="J89" s="382" t="s">
        <v>38</v>
      </c>
      <c r="K89" s="382" t="s">
        <v>40</v>
      </c>
      <c r="L89" s="382" t="s">
        <v>39</v>
      </c>
      <c r="M89" s="382" t="s">
        <v>41</v>
      </c>
      <c r="N89" s="354"/>
      <c r="O89" s="354"/>
      <c r="P89" s="354"/>
      <c r="Q89" s="354"/>
      <c r="R89" s="354"/>
      <c r="S89" s="354"/>
      <c r="T89" s="354"/>
      <c r="U89" s="354"/>
      <c r="V89" s="354"/>
      <c r="W89" s="354"/>
      <c r="X89" s="354"/>
      <c r="Y89" s="354"/>
      <c r="Z89" s="354"/>
      <c r="AD89" s="381"/>
      <c r="AI89" s="443"/>
      <c r="AN89" s="59"/>
      <c r="AS89" s="309"/>
      <c r="AX89" s="59"/>
      <c r="AY89" s="59"/>
      <c r="BA89" s="61"/>
      <c r="BE89" s="296"/>
      <c r="BG89" s="296"/>
    </row>
    <row r="90" spans="1:59" s="68" customFormat="1" ht="13.5" customHeight="1" x14ac:dyDescent="0.25">
      <c r="A90" s="343" t="s">
        <v>812</v>
      </c>
      <c r="B90" s="304">
        <f>COUNT($F$4:$F$54)</f>
        <v>51</v>
      </c>
      <c r="C90" s="82">
        <f>COUNTIF($F$4:$F$54,"&gt;1")</f>
        <v>50</v>
      </c>
      <c r="D90" s="82">
        <f>COUNTIF($F$4:$F$54,"&gt;2")</f>
        <v>48</v>
      </c>
      <c r="E90" s="82">
        <f>COUNTIF($F$4:$F$54,"&gt;3")</f>
        <v>39</v>
      </c>
      <c r="F90" s="383">
        <f>COUNTIF($F$4:$F$54,"&gt;4")</f>
        <v>25</v>
      </c>
      <c r="G90" s="383">
        <f>COUNTIF($F$4:$F$54,"&gt;5")</f>
        <v>12</v>
      </c>
      <c r="H90" s="435">
        <f t="shared" ref="H90:H102" si="20">B90/B90</f>
        <v>1</v>
      </c>
      <c r="I90" s="329">
        <f>C90/B90</f>
        <v>0.98039215686274506</v>
      </c>
      <c r="J90" s="395">
        <f>D90/$B$90</f>
        <v>0.94117647058823528</v>
      </c>
      <c r="K90" s="395">
        <f>E90/$B$90</f>
        <v>0.76470588235294112</v>
      </c>
      <c r="L90" s="395">
        <f>F90/$B$90</f>
        <v>0.49019607843137253</v>
      </c>
      <c r="M90" s="395">
        <f>G90/$B$90</f>
        <v>0.23529411764705882</v>
      </c>
      <c r="N90" s="354"/>
      <c r="O90" s="396"/>
      <c r="P90" s="354"/>
      <c r="Q90" s="354"/>
      <c r="R90" s="354"/>
      <c r="S90" s="354"/>
      <c r="T90" s="354"/>
      <c r="U90" s="354"/>
      <c r="V90" s="354"/>
      <c r="W90" s="354"/>
      <c r="X90" s="354"/>
      <c r="Y90" s="354"/>
      <c r="Z90" s="354"/>
      <c r="AD90" s="381"/>
      <c r="AI90" s="443"/>
      <c r="AN90" s="59"/>
      <c r="AS90" s="309"/>
      <c r="AX90" s="59"/>
      <c r="AY90" s="59"/>
      <c r="BA90" s="61"/>
      <c r="BE90" s="296"/>
      <c r="BG90" s="296"/>
    </row>
    <row r="91" spans="1:59" s="68" customFormat="1" ht="14" customHeight="1" x14ac:dyDescent="0.25">
      <c r="A91" s="343" t="s">
        <v>44</v>
      </c>
      <c r="B91" s="304">
        <f>COUNT($H$4:$H$54)</f>
        <v>37</v>
      </c>
      <c r="C91" s="82">
        <f>COUNTIF($H$4:$H$54, "&gt;1")</f>
        <v>13</v>
      </c>
      <c r="D91" s="82">
        <f>COUNTIF($H$4:$H$54, "&gt;2")</f>
        <v>3</v>
      </c>
      <c r="E91" s="82">
        <f>COUNTIF($H$4:$H$54, "&gt;3")</f>
        <v>0</v>
      </c>
      <c r="F91" s="383">
        <f>COUNTIF($H$4:$H$54, "&gt;4")</f>
        <v>0</v>
      </c>
      <c r="G91" s="383">
        <f>COUNTIF($H$4:$H$54, "&gt;5")</f>
        <v>0</v>
      </c>
      <c r="H91" s="435">
        <f t="shared" si="20"/>
        <v>1</v>
      </c>
      <c r="I91" s="329">
        <f>C91/$B$91</f>
        <v>0.35135135135135137</v>
      </c>
      <c r="J91" s="395">
        <f>D91/$B$91</f>
        <v>8.1081081081081086E-2</v>
      </c>
      <c r="K91" s="395">
        <f>E91/$B$91</f>
        <v>0</v>
      </c>
      <c r="L91" s="395">
        <f>F91/$B$91</f>
        <v>0</v>
      </c>
      <c r="M91" s="395">
        <f>G91/$B$91</f>
        <v>0</v>
      </c>
      <c r="N91" s="354"/>
      <c r="O91" s="381"/>
      <c r="P91" s="354"/>
      <c r="Q91" s="354"/>
      <c r="R91" s="354"/>
      <c r="S91" s="354"/>
      <c r="T91" s="354"/>
      <c r="U91" s="354"/>
      <c r="V91" s="354"/>
      <c r="W91" s="354"/>
      <c r="X91" s="354"/>
      <c r="Y91" s="354"/>
      <c r="Z91" s="354"/>
      <c r="AD91" s="381"/>
      <c r="AI91" s="443"/>
      <c r="AN91" s="59"/>
      <c r="AS91" s="309"/>
      <c r="AX91" s="59"/>
      <c r="AY91" s="59"/>
      <c r="BA91" s="61"/>
      <c r="BE91" s="296"/>
      <c r="BG91" s="296"/>
    </row>
    <row r="92" spans="1:59" s="68" customFormat="1" ht="14" customHeight="1" x14ac:dyDescent="0.25">
      <c r="A92" s="343" t="s">
        <v>811</v>
      </c>
      <c r="B92" s="304">
        <f>COUNT($J$4:$J$54)</f>
        <v>39</v>
      </c>
      <c r="C92" s="82">
        <f>COUNTIF($J$4:$J$54,"&gt;1")</f>
        <v>37</v>
      </c>
      <c r="D92" s="82">
        <f>COUNTIF($J$4:$J$54,"&gt;2")</f>
        <v>28</v>
      </c>
      <c r="E92" s="82">
        <f>COUNTIF($J$4:$J$54,"&gt;3")</f>
        <v>13</v>
      </c>
      <c r="F92" s="383">
        <f>COUNTIF($J$4:$J$54,"&gt;4")</f>
        <v>7</v>
      </c>
      <c r="G92" s="383">
        <f>COUNTIF($J$4:$J$54,"&gt;5")</f>
        <v>6</v>
      </c>
      <c r="H92" s="435">
        <f t="shared" si="20"/>
        <v>1</v>
      </c>
      <c r="I92" s="329">
        <f>C92/$B$92</f>
        <v>0.94871794871794868</v>
      </c>
      <c r="J92" s="395">
        <f>D92/$B$92</f>
        <v>0.71794871794871795</v>
      </c>
      <c r="K92" s="395">
        <f>E92/$B$92</f>
        <v>0.33333333333333331</v>
      </c>
      <c r="L92" s="395">
        <f>F92/$B$92</f>
        <v>0.17948717948717949</v>
      </c>
      <c r="M92" s="395">
        <f>G92/$B$92</f>
        <v>0.15384615384615385</v>
      </c>
      <c r="N92" s="354"/>
      <c r="O92" s="397"/>
      <c r="P92" s="354"/>
      <c r="Q92" s="354"/>
      <c r="R92" s="354"/>
      <c r="S92" s="354"/>
      <c r="T92" s="354"/>
      <c r="U92" s="354"/>
      <c r="V92" s="354"/>
      <c r="W92" s="354"/>
      <c r="X92" s="354"/>
      <c r="Y92" s="354"/>
      <c r="Z92" s="354"/>
      <c r="AD92" s="381"/>
      <c r="AI92" s="443"/>
      <c r="AN92" s="59"/>
      <c r="AS92" s="309"/>
      <c r="AX92" s="59"/>
      <c r="AY92" s="59"/>
      <c r="BA92" s="61"/>
      <c r="BE92" s="296"/>
      <c r="BG92" s="296"/>
    </row>
    <row r="93" spans="1:59" s="68" customFormat="1" ht="12.5" x14ac:dyDescent="0.25">
      <c r="A93" s="343" t="s">
        <v>26</v>
      </c>
      <c r="B93" s="304">
        <f>COUNT($L$4:$L$54)</f>
        <v>40</v>
      </c>
      <c r="C93" s="82">
        <f>COUNTIF($L$4:$L$54, "&gt;1")</f>
        <v>40</v>
      </c>
      <c r="D93" s="82">
        <f>COUNTIF($L$4:$L$54, "&gt;2")</f>
        <v>35</v>
      </c>
      <c r="E93" s="82">
        <f>COUNTIF($L$4:$L$54, "&gt;3")</f>
        <v>23</v>
      </c>
      <c r="F93" s="383">
        <f>COUNTIF($L$4:$L$54, "&gt;4")</f>
        <v>13</v>
      </c>
      <c r="G93" s="383">
        <f>COUNTIF($L$4:$L$54, "&gt;5")</f>
        <v>7</v>
      </c>
      <c r="H93" s="435">
        <f t="shared" si="20"/>
        <v>1</v>
      </c>
      <c r="I93" s="329">
        <f>C93/$B$93</f>
        <v>1</v>
      </c>
      <c r="J93" s="395">
        <f>D93/$B$93</f>
        <v>0.875</v>
      </c>
      <c r="K93" s="395">
        <f>E93/$B$93</f>
        <v>0.57499999999999996</v>
      </c>
      <c r="L93" s="395">
        <f>F93/$B$93</f>
        <v>0.32500000000000001</v>
      </c>
      <c r="M93" s="395">
        <f>G93/$B$93</f>
        <v>0.17499999999999999</v>
      </c>
      <c r="N93" s="354"/>
      <c r="O93" s="354"/>
      <c r="P93" s="354"/>
      <c r="Q93" s="354"/>
      <c r="R93" s="354"/>
      <c r="S93" s="354"/>
      <c r="T93" s="354"/>
      <c r="U93" s="354"/>
      <c r="V93" s="354"/>
      <c r="W93" s="354"/>
      <c r="X93" s="354"/>
      <c r="Y93" s="354"/>
      <c r="Z93" s="354"/>
      <c r="AD93" s="381"/>
      <c r="AI93" s="443"/>
      <c r="AN93" s="59"/>
      <c r="AS93" s="309"/>
      <c r="AX93" s="59"/>
      <c r="AY93" s="59"/>
      <c r="BA93" s="61"/>
      <c r="BE93" s="296"/>
      <c r="BG93" s="296"/>
    </row>
    <row r="94" spans="1:59" s="68" customFormat="1" ht="14" customHeight="1" x14ac:dyDescent="0.25">
      <c r="A94" s="343" t="s">
        <v>27</v>
      </c>
      <c r="B94" s="304">
        <f>COUNT($N$4:$N$54)</f>
        <v>50</v>
      </c>
      <c r="C94" s="82">
        <f>COUNTIF($N$4:$N$54, "&gt;1")</f>
        <v>50</v>
      </c>
      <c r="D94" s="82">
        <f>COUNTIF($N$4:$N$54, "&gt;2")</f>
        <v>47</v>
      </c>
      <c r="E94" s="82">
        <f>COUNTIF($N$4:$N$54, "&gt;3")</f>
        <v>33</v>
      </c>
      <c r="F94" s="383">
        <f>COUNTIF($N$4:$N$54, "&gt;4")</f>
        <v>15</v>
      </c>
      <c r="G94" s="383">
        <f>COUNTIF($N$4:$N$54, "&gt;5")</f>
        <v>12</v>
      </c>
      <c r="H94" s="435">
        <f t="shared" si="20"/>
        <v>1</v>
      </c>
      <c r="I94" s="329">
        <f>C94/$B$94</f>
        <v>1</v>
      </c>
      <c r="J94" s="395">
        <f>D94/$B$94</f>
        <v>0.94</v>
      </c>
      <c r="K94" s="395">
        <f>E94/$B$94</f>
        <v>0.66</v>
      </c>
      <c r="L94" s="395">
        <f>F94/$B$94</f>
        <v>0.3</v>
      </c>
      <c r="M94" s="395">
        <f>G94/$B$94</f>
        <v>0.24</v>
      </c>
      <c r="N94" s="354"/>
      <c r="O94" s="354"/>
      <c r="P94" s="354"/>
      <c r="Q94" s="354"/>
      <c r="R94" s="354"/>
      <c r="S94" s="354"/>
      <c r="T94" s="354"/>
      <c r="U94" s="354"/>
      <c r="V94" s="354"/>
      <c r="W94" s="354"/>
      <c r="X94" s="354"/>
      <c r="Y94" s="354"/>
      <c r="Z94" s="354"/>
      <c r="AD94" s="381"/>
      <c r="AI94" s="443"/>
      <c r="AN94" s="59"/>
      <c r="AS94" s="309"/>
      <c r="AX94" s="59"/>
      <c r="AY94" s="59"/>
      <c r="BA94" s="61"/>
      <c r="BE94" s="296"/>
      <c r="BG94" s="296"/>
    </row>
    <row r="95" spans="1:59" s="68" customFormat="1" ht="12.5" x14ac:dyDescent="0.25">
      <c r="A95" s="343" t="s">
        <v>86</v>
      </c>
      <c r="B95" s="323">
        <f>COUNT($P$4:$P$54)</f>
        <v>51</v>
      </c>
      <c r="C95" s="57">
        <f>COUNTIF($P$4:$P$54, "&gt;1")</f>
        <v>50</v>
      </c>
      <c r="D95" s="57">
        <f>COUNTIF($P$4:$P$54, "&gt;2")</f>
        <v>49</v>
      </c>
      <c r="E95" s="57">
        <f>COUNTIF($P$4:$P$54, "&gt;3")</f>
        <v>41</v>
      </c>
      <c r="F95" s="360">
        <f>COUNTIF($P$4:$P$54, "&gt;4")</f>
        <v>25</v>
      </c>
      <c r="G95" s="360">
        <f>COUNTIF($P$4:$P$54, "&gt;5")</f>
        <v>13</v>
      </c>
      <c r="H95" s="435">
        <f t="shared" si="20"/>
        <v>1</v>
      </c>
      <c r="I95" s="329">
        <f>C95/$B$95</f>
        <v>0.98039215686274506</v>
      </c>
      <c r="J95" s="395">
        <f>D95/$B$95</f>
        <v>0.96078431372549022</v>
      </c>
      <c r="K95" s="395">
        <f>E95/$B$95</f>
        <v>0.80392156862745101</v>
      </c>
      <c r="L95" s="395">
        <f>F95/$B$95</f>
        <v>0.49019607843137253</v>
      </c>
      <c r="M95" s="395">
        <f>G95/$B$95</f>
        <v>0.25490196078431371</v>
      </c>
      <c r="N95" s="354"/>
      <c r="O95" s="354"/>
      <c r="P95" s="354"/>
      <c r="Q95" s="354"/>
      <c r="R95" s="354"/>
      <c r="S95" s="354"/>
      <c r="T95" s="354"/>
      <c r="U95" s="354"/>
      <c r="V95" s="354"/>
      <c r="W95" s="354"/>
      <c r="X95" s="354"/>
      <c r="Y95" s="354"/>
      <c r="Z95" s="354"/>
      <c r="AD95" s="381"/>
      <c r="AI95" s="443"/>
      <c r="AN95" s="59"/>
      <c r="AS95" s="309"/>
      <c r="AX95" s="59"/>
      <c r="AY95" s="59"/>
      <c r="BA95" s="61"/>
      <c r="BE95" s="296"/>
      <c r="BG95" s="296"/>
    </row>
    <row r="96" spans="1:59" s="68" customFormat="1" ht="12.5" x14ac:dyDescent="0.25">
      <c r="A96" s="343" t="s">
        <v>87</v>
      </c>
      <c r="B96" s="323">
        <f>COUNT($R$4:$R$54)</f>
        <v>51</v>
      </c>
      <c r="C96" s="57">
        <f>COUNTIF($R$4:$R$54, "&gt;1")</f>
        <v>49</v>
      </c>
      <c r="D96" s="57">
        <f>COUNTIF($R$4:$R$54, "&gt;2")</f>
        <v>47</v>
      </c>
      <c r="E96" s="57">
        <f>COUNTIF($R$4:$R$54, "&gt;3")</f>
        <v>41</v>
      </c>
      <c r="F96" s="360">
        <f>COUNTIF($R$4:$R$54, "&gt;4")</f>
        <v>32</v>
      </c>
      <c r="G96" s="360">
        <f>COUNTIF($R$4:$R$54, "&gt;5")</f>
        <v>18</v>
      </c>
      <c r="H96" s="435">
        <f t="shared" si="20"/>
        <v>1</v>
      </c>
      <c r="I96" s="329">
        <f>C96/$B$96</f>
        <v>0.96078431372549022</v>
      </c>
      <c r="J96" s="395">
        <f>D96/$B$96</f>
        <v>0.92156862745098034</v>
      </c>
      <c r="K96" s="395">
        <f>E96/$B$96</f>
        <v>0.80392156862745101</v>
      </c>
      <c r="L96" s="395">
        <f>F96/$B$96</f>
        <v>0.62745098039215685</v>
      </c>
      <c r="M96" s="395">
        <f>G96/$B$96</f>
        <v>0.35294117647058826</v>
      </c>
      <c r="N96" s="354"/>
      <c r="O96" s="354"/>
      <c r="P96" s="354"/>
      <c r="Q96" s="354"/>
      <c r="R96" s="354"/>
      <c r="S96" s="354"/>
      <c r="T96" s="354"/>
      <c r="U96" s="354"/>
      <c r="V96" s="354"/>
      <c r="W96" s="354"/>
      <c r="X96" s="354"/>
      <c r="Y96" s="354"/>
      <c r="Z96" s="354"/>
      <c r="AD96" s="381"/>
      <c r="AI96" s="443"/>
      <c r="AN96" s="59"/>
      <c r="AS96" s="309"/>
      <c r="AX96" s="59"/>
      <c r="AY96" s="59"/>
      <c r="BA96" s="61"/>
      <c r="BE96" s="296"/>
      <c r="BG96" s="296"/>
    </row>
    <row r="97" spans="1:59" s="68" customFormat="1" ht="12.5" x14ac:dyDescent="0.25">
      <c r="A97" s="344" t="s">
        <v>88</v>
      </c>
      <c r="B97" s="323">
        <f>COUNT($T$4:$T$54)</f>
        <v>21</v>
      </c>
      <c r="C97" s="57">
        <f>COUNTIF($T$4:$T$54, "&gt;1")</f>
        <v>20</v>
      </c>
      <c r="D97" s="57">
        <f>COUNTIF($T$4:$T$54, "&gt;2")</f>
        <v>17</v>
      </c>
      <c r="E97" s="57">
        <f>COUNTIF($T$4:$T$54, "&gt;3")</f>
        <v>12</v>
      </c>
      <c r="F97" s="360">
        <f>COUNTIF($T$4:$T$54, "&gt;4")</f>
        <v>8</v>
      </c>
      <c r="G97" s="360">
        <f>COUNTIF($T$4:$T$54, "&gt;5")</f>
        <v>4</v>
      </c>
      <c r="H97" s="435">
        <f t="shared" si="20"/>
        <v>1</v>
      </c>
      <c r="I97" s="329">
        <f>C97/$B$97</f>
        <v>0.95238095238095233</v>
      </c>
      <c r="J97" s="395">
        <f>D97/$B$97</f>
        <v>0.80952380952380953</v>
      </c>
      <c r="K97" s="395">
        <f>E97/$B$97</f>
        <v>0.5714285714285714</v>
      </c>
      <c r="L97" s="395">
        <f>F97/$B$97</f>
        <v>0.38095238095238093</v>
      </c>
      <c r="M97" s="395">
        <f>G97/$B$97</f>
        <v>0.19047619047619047</v>
      </c>
      <c r="N97" s="354"/>
      <c r="O97" s="398"/>
      <c r="P97" s="354"/>
      <c r="Q97" s="354"/>
      <c r="R97" s="354"/>
      <c r="S97" s="354"/>
      <c r="T97" s="354"/>
      <c r="U97" s="354"/>
      <c r="V97" s="354"/>
      <c r="W97" s="354"/>
      <c r="X97" s="354"/>
      <c r="Y97" s="354"/>
      <c r="Z97" s="354"/>
      <c r="AD97" s="381"/>
      <c r="AI97" s="443"/>
      <c r="AN97" s="59"/>
      <c r="AS97" s="309"/>
      <c r="AX97" s="59"/>
      <c r="AY97" s="59"/>
      <c r="BA97" s="61"/>
      <c r="BE97" s="296"/>
      <c r="BG97" s="296"/>
    </row>
    <row r="98" spans="1:59" s="68" customFormat="1" ht="12.5" x14ac:dyDescent="0.25">
      <c r="A98" s="344" t="s">
        <v>89</v>
      </c>
      <c r="B98" s="323">
        <f>COUNT($V$4:$V$54)</f>
        <v>27</v>
      </c>
      <c r="C98" s="57">
        <f>COUNTIF($V$4:$V$54, "&gt;1")</f>
        <v>27</v>
      </c>
      <c r="D98" s="57">
        <f>COUNTIF($V$4:$V$54, "&gt;2")</f>
        <v>22</v>
      </c>
      <c r="E98" s="57">
        <f>COUNTIF($V$4:$V$54, "&gt;3")</f>
        <v>16</v>
      </c>
      <c r="F98" s="360">
        <f>COUNTIF($V$4:$V$54, "&gt;4")</f>
        <v>13</v>
      </c>
      <c r="G98" s="360">
        <f>COUNTIF($V$4:$V$54, "&gt;5")</f>
        <v>7</v>
      </c>
      <c r="H98" s="435">
        <f t="shared" si="20"/>
        <v>1</v>
      </c>
      <c r="I98" s="329">
        <f>C98/$B$98</f>
        <v>1</v>
      </c>
      <c r="J98" s="395">
        <f>D98/$B$98</f>
        <v>0.81481481481481477</v>
      </c>
      <c r="K98" s="395">
        <f>E98/$B$98</f>
        <v>0.59259259259259256</v>
      </c>
      <c r="L98" s="395">
        <f>F98/$B$98</f>
        <v>0.48148148148148145</v>
      </c>
      <c r="M98" s="395">
        <f>G98/$B$98</f>
        <v>0.25925925925925924</v>
      </c>
      <c r="N98" s="354"/>
      <c r="O98" s="398"/>
      <c r="P98" s="354"/>
      <c r="Q98" s="354"/>
      <c r="R98" s="354"/>
      <c r="S98" s="354"/>
      <c r="T98" s="354"/>
      <c r="U98" s="354"/>
      <c r="V98" s="354"/>
      <c r="W98" s="354"/>
      <c r="X98" s="354"/>
      <c r="Y98" s="354"/>
      <c r="Z98" s="354"/>
      <c r="AD98" s="381"/>
      <c r="AI98" s="443"/>
      <c r="AN98" s="59"/>
      <c r="AS98" s="309"/>
      <c r="AX98" s="59"/>
      <c r="AY98" s="59"/>
      <c r="BA98" s="61"/>
      <c r="BE98" s="296"/>
      <c r="BG98" s="296"/>
    </row>
    <row r="99" spans="1:59" s="68" customFormat="1" ht="14" x14ac:dyDescent="0.3">
      <c r="A99" s="353" t="s">
        <v>816</v>
      </c>
      <c r="B99" s="57">
        <f>COUNT($X$4:$X$54)</f>
        <v>31</v>
      </c>
      <c r="C99" s="57">
        <f>COUNTIF($X$4:$X$54,"&gt;1")</f>
        <v>12</v>
      </c>
      <c r="D99" s="57">
        <f>COUNTIF($X$4:$X$54,"&gt;2")</f>
        <v>8</v>
      </c>
      <c r="E99" s="57">
        <f>COUNTIF($X$4:$X$54,"&gt;3")</f>
        <v>3</v>
      </c>
      <c r="F99" s="360">
        <f>COUNTIF($X$4:$X$54,"&gt;4")</f>
        <v>1</v>
      </c>
      <c r="G99" s="360">
        <f>COUNTIF($X$4:$X$54,"&gt;5")</f>
        <v>1</v>
      </c>
      <c r="H99" s="435">
        <f>B99/B99</f>
        <v>1</v>
      </c>
      <c r="I99" s="329">
        <f>C99/$B$99</f>
        <v>0.38709677419354838</v>
      </c>
      <c r="J99" s="395">
        <f>D99/$B$99</f>
        <v>0.25806451612903225</v>
      </c>
      <c r="K99" s="395">
        <f>E99/$B$99</f>
        <v>9.6774193548387094E-2</v>
      </c>
      <c r="L99" s="395">
        <f>F99/$B$99</f>
        <v>3.2258064516129031E-2</v>
      </c>
      <c r="M99" s="395">
        <f t="shared" ref="M99" si="21">G99/$B$99</f>
        <v>3.2258064516129031E-2</v>
      </c>
      <c r="N99" s="354"/>
      <c r="O99" s="398"/>
      <c r="P99" s="354"/>
      <c r="Q99" s="354"/>
      <c r="R99" s="354"/>
      <c r="S99" s="354"/>
      <c r="T99" s="354"/>
      <c r="U99" s="354"/>
      <c r="V99" s="354"/>
      <c r="W99" s="354"/>
      <c r="X99" s="354"/>
      <c r="Y99" s="354"/>
      <c r="Z99" s="354"/>
      <c r="AD99" s="381"/>
      <c r="AI99" s="443"/>
      <c r="AN99" s="59"/>
      <c r="AS99" s="309"/>
      <c r="AX99" s="59"/>
      <c r="AY99" s="59"/>
      <c r="BA99" s="61"/>
      <c r="BE99" s="296"/>
      <c r="BG99" s="296"/>
    </row>
    <row r="100" spans="1:59" s="68" customFormat="1" ht="12.5" x14ac:dyDescent="0.25">
      <c r="A100" s="343" t="s">
        <v>817</v>
      </c>
      <c r="B100" s="57">
        <f>COUNT($Z$4:$Z$54)</f>
        <v>30</v>
      </c>
      <c r="C100" s="57">
        <f>COUNTIF($Z$4:$Z$54,"&gt;1")</f>
        <v>12</v>
      </c>
      <c r="D100" s="57">
        <f>COUNTIF($Z$4:$Z$54,"&gt;2")</f>
        <v>8</v>
      </c>
      <c r="E100" s="57">
        <f>COUNTIF($Z$4:$Z$54,"&gt;3")</f>
        <v>4</v>
      </c>
      <c r="F100" s="360">
        <f>COUNTIF($Z$4:$Z$54,"&gt;4")</f>
        <v>2</v>
      </c>
      <c r="G100" s="360">
        <f>COUNTIF($Z$4:$Z$54,"&gt;5")</f>
        <v>0</v>
      </c>
      <c r="H100" s="435">
        <f t="shared" si="20"/>
        <v>1</v>
      </c>
      <c r="I100" s="329">
        <f>C100/$B$100</f>
        <v>0.4</v>
      </c>
      <c r="J100" s="395">
        <f t="shared" ref="J100:M100" si="22">D100/$B$100</f>
        <v>0.26666666666666666</v>
      </c>
      <c r="K100" s="395">
        <f t="shared" si="22"/>
        <v>0.13333333333333333</v>
      </c>
      <c r="L100" s="395">
        <f t="shared" si="22"/>
        <v>6.6666666666666666E-2</v>
      </c>
      <c r="M100" s="395">
        <f t="shared" si="22"/>
        <v>0</v>
      </c>
      <c r="N100" s="354"/>
      <c r="O100" s="398"/>
      <c r="P100" s="354"/>
      <c r="Q100" s="354"/>
      <c r="R100" s="354"/>
      <c r="S100" s="354"/>
      <c r="T100" s="354"/>
      <c r="U100" s="354"/>
      <c r="V100" s="354"/>
      <c r="W100" s="354"/>
      <c r="X100" s="354"/>
      <c r="Y100" s="354"/>
      <c r="Z100" s="354"/>
      <c r="AD100" s="381"/>
      <c r="AI100" s="443"/>
      <c r="AN100" s="59"/>
      <c r="AS100" s="309"/>
      <c r="AX100" s="59"/>
      <c r="AY100" s="59"/>
      <c r="BA100" s="61"/>
      <c r="BE100" s="296"/>
      <c r="BG100" s="296"/>
    </row>
    <row r="101" spans="1:59" s="68" customFormat="1" ht="12.5" x14ac:dyDescent="0.25">
      <c r="A101" s="343" t="s">
        <v>90</v>
      </c>
      <c r="B101" s="323">
        <f>COUNT($AB$4:$AB$54)</f>
        <v>37</v>
      </c>
      <c r="C101" s="57">
        <f>COUNTIF($AB$4:$AB$54, "&gt;1")</f>
        <v>29</v>
      </c>
      <c r="D101" s="57">
        <f>COUNTIF($AB$4:$AB$54, "&gt;2")</f>
        <v>18</v>
      </c>
      <c r="E101" s="57">
        <f>COUNTIF($AB$4:$AB$54, "&gt;3")</f>
        <v>9</v>
      </c>
      <c r="F101" s="360">
        <f>COUNTIF($AB$4:$AB$54, "&gt;4")</f>
        <v>5</v>
      </c>
      <c r="G101" s="360">
        <f>COUNTIF($AB$4:$AB$54, "&gt;5")</f>
        <v>2</v>
      </c>
      <c r="H101" s="435">
        <f t="shared" si="20"/>
        <v>1</v>
      </c>
      <c r="I101" s="329">
        <f>C101/$B$101</f>
        <v>0.78378378378378377</v>
      </c>
      <c r="J101" s="395">
        <f>D101/$B$101</f>
        <v>0.48648648648648651</v>
      </c>
      <c r="K101" s="395">
        <f>E101/$B$101</f>
        <v>0.24324324324324326</v>
      </c>
      <c r="L101" s="395">
        <f>F101/$B$101</f>
        <v>0.13513513513513514</v>
      </c>
      <c r="M101" s="395">
        <f>G101/$B$101</f>
        <v>5.4054054054054057E-2</v>
      </c>
      <c r="N101" s="354"/>
      <c r="O101" s="399"/>
      <c r="P101" s="354"/>
      <c r="Q101" s="354"/>
      <c r="R101" s="354"/>
      <c r="S101" s="354"/>
      <c r="T101" s="354"/>
      <c r="U101" s="354"/>
      <c r="V101" s="354"/>
      <c r="W101" s="354"/>
      <c r="X101" s="354"/>
      <c r="Y101" s="354"/>
      <c r="Z101" s="354"/>
      <c r="AD101" s="381"/>
      <c r="AI101" s="443"/>
      <c r="AN101" s="59"/>
      <c r="AS101" s="309"/>
      <c r="AX101" s="59"/>
      <c r="AY101" s="59"/>
      <c r="BA101" s="61"/>
      <c r="BE101" s="296"/>
      <c r="BG101" s="296"/>
    </row>
    <row r="102" spans="1:59" s="68" customFormat="1" ht="14" customHeight="1" x14ac:dyDescent="0.25">
      <c r="A102" s="343" t="s">
        <v>91</v>
      </c>
      <c r="B102" s="323">
        <f>COUNT($AD$4:$AD$54)</f>
        <v>51</v>
      </c>
      <c r="C102" s="57">
        <f>COUNTIF($AD$4:$AD$54, "&gt;1")</f>
        <v>51</v>
      </c>
      <c r="D102" s="57">
        <f>COUNTIF($AD$4:$AD$54, "&gt;2")</f>
        <v>51</v>
      </c>
      <c r="E102" s="57">
        <f>COUNTIF($AD$4:$AD$54, "&gt;3")</f>
        <v>49</v>
      </c>
      <c r="F102" s="360">
        <f>COUNTIF($AD$4:$AD$54, "&gt;4")</f>
        <v>40</v>
      </c>
      <c r="G102" s="360">
        <f>COUNTIF($AD$4:$AD$54, "&gt;5")</f>
        <v>26</v>
      </c>
      <c r="H102" s="435">
        <f t="shared" si="20"/>
        <v>1</v>
      </c>
      <c r="I102" s="329">
        <f>C102/$B$102</f>
        <v>1</v>
      </c>
      <c r="J102" s="395">
        <f>D102/$B$102</f>
        <v>1</v>
      </c>
      <c r="K102" s="395">
        <f>E102/$B$102</f>
        <v>0.96078431372549022</v>
      </c>
      <c r="L102" s="395">
        <f>F102/$B$102</f>
        <v>0.78431372549019607</v>
      </c>
      <c r="M102" s="395">
        <f>G102/$B$102</f>
        <v>0.50980392156862742</v>
      </c>
      <c r="N102" s="354"/>
      <c r="O102" s="399"/>
      <c r="P102" s="330"/>
      <c r="Q102" s="330"/>
      <c r="R102" s="330"/>
      <c r="S102" s="330"/>
      <c r="T102" s="330"/>
      <c r="U102" s="330"/>
      <c r="V102" s="330"/>
      <c r="W102" s="330"/>
      <c r="X102" s="330"/>
      <c r="Y102" s="330"/>
      <c r="Z102" s="330"/>
      <c r="AA102" s="330"/>
      <c r="AB102" s="330"/>
      <c r="AC102" s="330"/>
      <c r="AD102" s="419"/>
      <c r="AI102" s="443"/>
      <c r="AN102" s="59"/>
      <c r="AS102" s="309"/>
      <c r="AX102" s="59"/>
      <c r="AY102" s="59"/>
      <c r="BA102" s="61"/>
      <c r="BE102" s="296"/>
      <c r="BG102" s="296"/>
    </row>
    <row r="103" spans="1:59" s="68" customFormat="1" ht="15.5" customHeight="1" x14ac:dyDescent="0.25">
      <c r="B103" s="309"/>
      <c r="F103" s="354"/>
      <c r="G103" s="354"/>
      <c r="H103" s="354"/>
      <c r="J103" s="354"/>
      <c r="K103" s="354"/>
      <c r="L103" s="354"/>
      <c r="M103" s="354"/>
      <c r="N103" s="354"/>
      <c r="O103" s="354"/>
      <c r="P103" s="331"/>
      <c r="Q103" s="331"/>
      <c r="R103" s="331"/>
      <c r="S103" s="331"/>
      <c r="T103" s="331"/>
      <c r="U103" s="331"/>
      <c r="V103" s="331"/>
      <c r="W103" s="331"/>
      <c r="X103" s="331"/>
      <c r="Y103" s="331"/>
      <c r="Z103" s="331"/>
      <c r="AA103" s="331"/>
      <c r="AB103" s="331"/>
      <c r="AC103" s="331"/>
      <c r="AD103" s="428"/>
      <c r="AI103" s="443"/>
      <c r="AN103" s="59"/>
      <c r="AS103" s="309"/>
      <c r="AX103" s="59"/>
      <c r="AY103" s="59"/>
      <c r="BA103" s="61"/>
      <c r="BE103" s="296"/>
      <c r="BG103" s="296"/>
    </row>
    <row r="104" spans="1:59" s="68" customFormat="1" ht="13" x14ac:dyDescent="0.3">
      <c r="A104" s="483" t="s">
        <v>746</v>
      </c>
      <c r="B104" s="483"/>
      <c r="C104" s="483"/>
      <c r="D104" s="483"/>
      <c r="E104" s="483"/>
      <c r="F104" s="483"/>
      <c r="G104" s="483"/>
      <c r="H104" s="483"/>
      <c r="I104" s="483"/>
      <c r="J104" s="483"/>
      <c r="K104" s="483"/>
      <c r="L104" s="483"/>
      <c r="M104" s="354"/>
      <c r="N104" s="354"/>
      <c r="O104" s="354"/>
      <c r="P104" s="332"/>
      <c r="Q104" s="332"/>
      <c r="R104" s="332"/>
      <c r="S104" s="332"/>
      <c r="T104" s="332"/>
      <c r="U104" s="332"/>
      <c r="V104" s="332"/>
      <c r="W104" s="332"/>
      <c r="X104" s="332"/>
      <c r="Y104" s="332"/>
      <c r="Z104" s="332"/>
      <c r="AA104" s="332"/>
      <c r="AB104" s="332"/>
      <c r="AC104" s="332"/>
      <c r="AD104" s="429"/>
      <c r="AI104" s="443"/>
      <c r="AN104" s="59"/>
      <c r="AS104" s="309"/>
      <c r="AX104" s="59"/>
      <c r="AY104" s="59"/>
      <c r="BA104" s="61"/>
      <c r="BE104" s="296"/>
      <c r="BG104" s="296"/>
    </row>
    <row r="105" spans="1:59" s="68" customFormat="1" ht="39" x14ac:dyDescent="0.3">
      <c r="A105" s="333"/>
      <c r="B105" s="334" t="s">
        <v>813</v>
      </c>
      <c r="C105" s="212" t="s">
        <v>44</v>
      </c>
      <c r="D105" s="212" t="s">
        <v>811</v>
      </c>
      <c r="E105" s="212" t="s">
        <v>748</v>
      </c>
      <c r="F105" s="400" t="s">
        <v>24</v>
      </c>
      <c r="G105" s="400" t="s">
        <v>749</v>
      </c>
      <c r="H105" s="400" t="s">
        <v>750</v>
      </c>
      <c r="I105" s="212" t="s">
        <v>751</v>
      </c>
      <c r="J105" s="400" t="s">
        <v>752</v>
      </c>
      <c r="K105" s="401" t="s">
        <v>816</v>
      </c>
      <c r="L105" s="401" t="s">
        <v>817</v>
      </c>
      <c r="M105" s="402" t="s">
        <v>754</v>
      </c>
      <c r="N105" s="402" t="s">
        <v>753</v>
      </c>
      <c r="O105" s="403"/>
      <c r="P105" s="335"/>
      <c r="Q105" s="335"/>
      <c r="R105" s="335"/>
      <c r="S105" s="335"/>
      <c r="T105" s="335"/>
      <c r="U105" s="335"/>
      <c r="V105" s="335"/>
      <c r="W105" s="335"/>
      <c r="X105" s="335"/>
      <c r="Y105" s="335"/>
      <c r="Z105" s="335"/>
      <c r="AA105" s="335"/>
      <c r="AB105" s="335"/>
      <c r="AC105" s="335"/>
      <c r="AD105" s="335"/>
      <c r="AI105" s="443"/>
      <c r="AN105" s="59"/>
      <c r="AS105" s="309"/>
      <c r="AX105" s="59"/>
      <c r="AY105" s="59"/>
      <c r="BA105" s="61"/>
      <c r="BE105" s="296"/>
      <c r="BG105" s="296"/>
    </row>
    <row r="106" spans="1:59" s="68" customFormat="1" ht="13" x14ac:dyDescent="0.3">
      <c r="A106" s="208" t="s">
        <v>2</v>
      </c>
      <c r="B106" s="242">
        <v>5</v>
      </c>
      <c r="C106" s="242">
        <v>2</v>
      </c>
      <c r="D106" s="242">
        <v>4</v>
      </c>
      <c r="E106" s="242">
        <v>4</v>
      </c>
      <c r="F106" s="404">
        <v>5</v>
      </c>
      <c r="G106" s="404">
        <v>5</v>
      </c>
      <c r="H106" s="404">
        <v>6</v>
      </c>
      <c r="I106" s="242">
        <v>5</v>
      </c>
      <c r="J106" s="404">
        <v>5</v>
      </c>
      <c r="K106" s="361">
        <v>1</v>
      </c>
      <c r="L106" s="358">
        <v>1</v>
      </c>
      <c r="M106" s="361">
        <v>4</v>
      </c>
      <c r="N106" s="361">
        <v>7</v>
      </c>
      <c r="O106" s="403"/>
      <c r="P106" s="335"/>
      <c r="Q106" s="335"/>
      <c r="R106" s="335"/>
      <c r="S106" s="335"/>
      <c r="T106" s="335"/>
      <c r="U106" s="335"/>
      <c r="V106" s="335"/>
      <c r="W106" s="335"/>
      <c r="X106" s="335"/>
      <c r="Y106" s="335"/>
      <c r="Z106" s="335"/>
      <c r="AA106" s="335"/>
      <c r="AB106" s="335"/>
      <c r="AC106" s="335"/>
      <c r="AD106" s="335"/>
      <c r="AI106" s="443"/>
      <c r="AN106" s="59"/>
      <c r="AS106" s="309"/>
      <c r="AX106" s="59"/>
      <c r="AY106" s="59"/>
      <c r="BA106" s="61"/>
      <c r="BE106" s="296"/>
      <c r="BG106" s="296"/>
    </row>
    <row r="107" spans="1:59" s="68" customFormat="1" ht="13" x14ac:dyDescent="0.3">
      <c r="A107" s="208" t="s">
        <v>0</v>
      </c>
      <c r="B107" s="242">
        <v>4</v>
      </c>
      <c r="C107" s="242">
        <v>1</v>
      </c>
      <c r="D107" s="242">
        <v>3</v>
      </c>
      <c r="E107" s="242">
        <v>4</v>
      </c>
      <c r="F107" s="404">
        <v>4</v>
      </c>
      <c r="G107" s="404">
        <v>4</v>
      </c>
      <c r="H107" s="404">
        <v>5</v>
      </c>
      <c r="I107" s="242">
        <v>4</v>
      </c>
      <c r="J107" s="404">
        <v>4</v>
      </c>
      <c r="K107" s="358">
        <v>1</v>
      </c>
      <c r="L107" s="358">
        <v>1</v>
      </c>
      <c r="M107" s="361">
        <v>2</v>
      </c>
      <c r="N107" s="361">
        <v>6</v>
      </c>
      <c r="O107" s="403"/>
      <c r="P107" s="335"/>
      <c r="Q107" s="330"/>
      <c r="R107" s="335"/>
      <c r="S107" s="330"/>
      <c r="T107" s="335"/>
      <c r="U107" s="330"/>
      <c r="V107" s="335"/>
      <c r="W107" s="330"/>
      <c r="X107" s="330"/>
      <c r="Y107" s="330"/>
      <c r="Z107" s="330"/>
      <c r="AA107" s="330"/>
      <c r="AB107" s="330"/>
      <c r="AC107" s="330"/>
      <c r="AD107" s="419"/>
      <c r="AI107" s="443"/>
      <c r="AN107" s="59"/>
      <c r="AS107" s="309"/>
      <c r="AX107" s="59"/>
      <c r="AY107" s="59"/>
      <c r="BA107" s="61"/>
      <c r="BE107" s="296"/>
      <c r="BG107" s="296"/>
    </row>
    <row r="108" spans="1:59" s="68" customFormat="1" ht="13" x14ac:dyDescent="0.3">
      <c r="A108" s="208" t="s">
        <v>265</v>
      </c>
      <c r="B108" s="345">
        <f t="shared" ref="B108:G108" si="23">B106/B107</f>
        <v>1.25</v>
      </c>
      <c r="C108" s="345">
        <f t="shared" si="23"/>
        <v>2</v>
      </c>
      <c r="D108" s="345">
        <f t="shared" si="23"/>
        <v>1.3333333333333333</v>
      </c>
      <c r="E108" s="345">
        <f t="shared" si="23"/>
        <v>1</v>
      </c>
      <c r="F108" s="405">
        <f t="shared" si="23"/>
        <v>1.25</v>
      </c>
      <c r="G108" s="405">
        <f t="shared" si="23"/>
        <v>1.25</v>
      </c>
      <c r="H108" s="405">
        <f>H106/H107</f>
        <v>1.2</v>
      </c>
      <c r="I108" s="345">
        <f>I106/I107</f>
        <v>1.25</v>
      </c>
      <c r="J108" s="405">
        <f>J106/J107</f>
        <v>1.25</v>
      </c>
      <c r="K108" s="405">
        <f t="shared" ref="K108:L108" si="24">K106/K107</f>
        <v>1</v>
      </c>
      <c r="L108" s="405">
        <f t="shared" si="24"/>
        <v>1</v>
      </c>
      <c r="M108" s="405">
        <f>M106/M107</f>
        <v>2</v>
      </c>
      <c r="N108" s="405">
        <f>N106/N107</f>
        <v>1.1666666666666667</v>
      </c>
      <c r="O108" s="403"/>
      <c r="P108" s="403"/>
      <c r="Q108" s="354"/>
      <c r="R108" s="354"/>
      <c r="S108" s="354"/>
      <c r="T108" s="354"/>
      <c r="U108" s="354"/>
      <c r="V108" s="354"/>
      <c r="W108" s="381"/>
      <c r="X108" s="381"/>
      <c r="Y108" s="381"/>
      <c r="Z108" s="381"/>
      <c r="AA108" s="61"/>
      <c r="AB108" s="61"/>
      <c r="AD108" s="381"/>
      <c r="AI108" s="443"/>
      <c r="AL108" s="61"/>
      <c r="AN108" s="59"/>
      <c r="AS108" s="309"/>
      <c r="AT108" s="336"/>
      <c r="AU108" s="337"/>
      <c r="AV108" s="61"/>
      <c r="AX108" s="59"/>
      <c r="AY108" s="59"/>
      <c r="BA108" s="61"/>
      <c r="BE108" s="296"/>
      <c r="BG108" s="296"/>
    </row>
    <row r="109" spans="1:59" s="68" customFormat="1" ht="13" x14ac:dyDescent="0.3">
      <c r="A109" s="184" t="s">
        <v>51</v>
      </c>
      <c r="B109" s="482" t="s">
        <v>747</v>
      </c>
      <c r="C109" s="482"/>
      <c r="D109" s="482"/>
      <c r="E109" s="482"/>
      <c r="F109" s="482"/>
      <c r="G109" s="482"/>
      <c r="H109" s="482"/>
      <c r="I109" s="482"/>
      <c r="J109" s="482"/>
      <c r="K109" s="482"/>
      <c r="L109" s="482"/>
      <c r="M109" s="482"/>
      <c r="N109" s="482"/>
      <c r="O109" s="403"/>
      <c r="P109" s="403"/>
      <c r="Q109" s="354"/>
      <c r="R109" s="354"/>
      <c r="S109" s="354"/>
      <c r="T109" s="354"/>
      <c r="U109" s="354"/>
      <c r="V109" s="354"/>
      <c r="W109" s="381"/>
      <c r="X109" s="381"/>
      <c r="Y109" s="381"/>
      <c r="Z109" s="381"/>
      <c r="AA109" s="61"/>
      <c r="AB109" s="61"/>
      <c r="AD109" s="381"/>
      <c r="AI109" s="443"/>
      <c r="AL109" s="61"/>
      <c r="AN109" s="59"/>
      <c r="AS109" s="309"/>
      <c r="AV109" s="61"/>
      <c r="AX109" s="59"/>
      <c r="AY109" s="59"/>
      <c r="BA109" s="61"/>
      <c r="BE109" s="296"/>
      <c r="BG109" s="296"/>
    </row>
    <row r="110" spans="1:59" x14ac:dyDescent="0.35">
      <c r="A110" s="478"/>
      <c r="B110" s="478"/>
      <c r="C110" s="3"/>
      <c r="D110" s="62"/>
      <c r="E110" s="3"/>
      <c r="F110" s="436"/>
      <c r="G110" s="437"/>
      <c r="H110" s="436"/>
      <c r="I110" s="3"/>
      <c r="J110" s="406"/>
      <c r="L110" s="407"/>
      <c r="M110" s="407"/>
      <c r="N110" s="407"/>
      <c r="O110" s="407"/>
      <c r="P110" s="407"/>
      <c r="AT110" s="64"/>
      <c r="AU110" s="64"/>
    </row>
    <row r="111" spans="1:59" ht="14" customHeight="1" x14ac:dyDescent="0.35">
      <c r="A111" s="479"/>
      <c r="B111" s="479"/>
      <c r="C111" s="3"/>
      <c r="D111" s="62"/>
      <c r="E111" s="3"/>
      <c r="F111" s="436"/>
      <c r="G111" s="437"/>
      <c r="H111" s="436"/>
      <c r="I111" s="3"/>
      <c r="J111" s="406"/>
      <c r="L111" s="407"/>
      <c r="M111" s="407"/>
      <c r="N111" s="407"/>
      <c r="O111" s="407"/>
      <c r="P111" s="407"/>
      <c r="AT111" s="64"/>
      <c r="AU111" s="64"/>
    </row>
    <row r="112" spans="1:59" ht="14" customHeight="1" x14ac:dyDescent="0.35">
      <c r="A112" s="63"/>
      <c r="B112" s="306"/>
      <c r="C112" s="19"/>
      <c r="D112" s="19"/>
      <c r="E112" s="11"/>
      <c r="F112" s="438"/>
      <c r="G112" s="408"/>
      <c r="H112" s="408"/>
      <c r="I112" s="11"/>
      <c r="J112" s="408"/>
      <c r="L112" s="407"/>
      <c r="M112" s="407"/>
      <c r="N112" s="407"/>
      <c r="O112" s="407"/>
      <c r="P112" s="407"/>
      <c r="AT112" s="64"/>
      <c r="AU112" s="64"/>
    </row>
    <row r="113" spans="9:16" x14ac:dyDescent="0.35">
      <c r="L113" s="407"/>
      <c r="M113" s="407"/>
      <c r="N113" s="407"/>
      <c r="O113" s="407"/>
      <c r="P113" s="407"/>
    </row>
    <row r="114" spans="9:16" x14ac:dyDescent="0.35">
      <c r="I114" s="363"/>
      <c r="J114" s="409"/>
      <c r="K114" s="409"/>
      <c r="L114" s="410"/>
      <c r="M114" s="410"/>
      <c r="N114" s="410"/>
      <c r="O114" s="410"/>
      <c r="P114" s="407"/>
    </row>
    <row r="115" spans="9:16" x14ac:dyDescent="0.35">
      <c r="I115" s="363"/>
      <c r="J115" s="411"/>
      <c r="K115" s="411"/>
      <c r="L115" s="411"/>
      <c r="M115" s="411"/>
      <c r="N115" s="410"/>
      <c r="O115" s="410"/>
      <c r="P115" s="407"/>
    </row>
    <row r="116" spans="9:16" ht="14" customHeight="1" x14ac:dyDescent="0.35">
      <c r="I116" s="363"/>
      <c r="J116" s="409"/>
      <c r="K116" s="409"/>
      <c r="L116" s="409"/>
      <c r="M116" s="409"/>
      <c r="N116" s="409"/>
      <c r="O116" s="409"/>
      <c r="P116" s="412"/>
    </row>
    <row r="117" spans="9:16" ht="14" customHeight="1" x14ac:dyDescent="0.35">
      <c r="I117" s="363"/>
      <c r="J117" s="409"/>
      <c r="K117" s="409"/>
      <c r="L117" s="409"/>
      <c r="M117" s="409"/>
      <c r="N117" s="409"/>
      <c r="O117" s="409"/>
    </row>
    <row r="119" spans="9:16" ht="14" customHeight="1" x14ac:dyDescent="0.35"/>
    <row r="120" spans="9:16" ht="14" customHeight="1" x14ac:dyDescent="0.35"/>
    <row r="121" spans="9:16" ht="14" customHeight="1" x14ac:dyDescent="0.35"/>
  </sheetData>
  <autoFilter ref="AD1:AD121" xr:uid="{C8A859D3-5A7E-4DD1-A7F7-D30F8F88DEE5}"/>
  <mergeCells count="41">
    <mergeCell ref="B2:B3"/>
    <mergeCell ref="C2:C3"/>
    <mergeCell ref="D2:D3"/>
    <mergeCell ref="E2:F2"/>
    <mergeCell ref="G2:H2"/>
    <mergeCell ref="AS2:BA2"/>
    <mergeCell ref="E57:F57"/>
    <mergeCell ref="G57:H57"/>
    <mergeCell ref="K57:L57"/>
    <mergeCell ref="M57:N57"/>
    <mergeCell ref="O57:P57"/>
    <mergeCell ref="Q57:R57"/>
    <mergeCell ref="Y2:Z2"/>
    <mergeCell ref="K2:L2"/>
    <mergeCell ref="M2:N2"/>
    <mergeCell ref="O2:P2"/>
    <mergeCell ref="Q2:R2"/>
    <mergeCell ref="S2:T2"/>
    <mergeCell ref="U2:V2"/>
    <mergeCell ref="J63:K63"/>
    <mergeCell ref="J64:K64"/>
    <mergeCell ref="I2:J2"/>
    <mergeCell ref="AA2:AB2"/>
    <mergeCell ref="AC2:AD2"/>
    <mergeCell ref="J62:K62"/>
    <mergeCell ref="AI2:AQ2"/>
    <mergeCell ref="A110:B110"/>
    <mergeCell ref="A111:B111"/>
    <mergeCell ref="J69:K69"/>
    <mergeCell ref="J70:K70"/>
    <mergeCell ref="B109:N109"/>
    <mergeCell ref="A104:L104"/>
    <mergeCell ref="W2:X2"/>
    <mergeCell ref="J65:K65"/>
    <mergeCell ref="J66:K66"/>
    <mergeCell ref="J67:K67"/>
    <mergeCell ref="J68:K68"/>
    <mergeCell ref="J58:Q58"/>
    <mergeCell ref="J59:K59"/>
    <mergeCell ref="J60:K60"/>
    <mergeCell ref="J61:K61"/>
  </mergeCells>
  <pageMargins left="0.7" right="0.7" top="0.75" bottom="0.75" header="0.3" footer="0.3"/>
  <pageSetup orientation="portrait" r:id="rId1"/>
  <ignoredErrors>
    <ignoredError sqref="D60:G71 N60:Q72"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22E8B-6D3B-4B10-82B3-161E74D8B7CC}">
  <dimension ref="A1:BJ32"/>
  <sheetViews>
    <sheetView topLeftCell="AR37" zoomScale="80" zoomScaleNormal="80" workbookViewId="0">
      <selection activeCell="AJ26" sqref="AJ26"/>
    </sheetView>
  </sheetViews>
  <sheetFormatPr defaultColWidth="9" defaultRowHeight="14" x14ac:dyDescent="0.3"/>
  <cols>
    <col min="1" max="1" width="28.25" style="33" customWidth="1"/>
    <col min="2" max="2" width="10.83203125" style="33" customWidth="1"/>
    <col min="3" max="4" width="10.75" style="33" customWidth="1"/>
    <col min="5" max="5" width="27.6640625" style="33" bestFit="1" customWidth="1"/>
    <col min="6" max="6" width="10.25" style="33" customWidth="1"/>
    <col min="7" max="8" width="10.08203125" style="33" customWidth="1"/>
    <col min="9" max="9" width="27.6640625" style="33" customWidth="1"/>
    <col min="10" max="10" width="11.1640625" style="33" customWidth="1"/>
    <col min="11" max="11" width="10.75" style="33" customWidth="1"/>
    <col min="12" max="12" width="10.25" style="33" customWidth="1"/>
    <col min="13" max="13" width="27" style="33" customWidth="1"/>
    <col min="14" max="14" width="10.6640625" style="33" customWidth="1"/>
    <col min="15" max="15" width="10.58203125" style="33" customWidth="1"/>
    <col min="16" max="16" width="9.75" style="33" customWidth="1"/>
    <col min="17" max="17" width="28.4140625" style="33" customWidth="1"/>
    <col min="18" max="18" width="12" style="33" customWidth="1"/>
    <col min="19" max="19" width="10.6640625" style="33" customWidth="1"/>
    <col min="20" max="20" width="9" style="33"/>
    <col min="21" max="21" width="28.58203125" style="33" customWidth="1"/>
    <col min="22" max="22" width="11.4140625" style="33" customWidth="1"/>
    <col min="23" max="23" width="11.1640625" style="33" customWidth="1"/>
    <col min="24" max="24" width="9" style="33"/>
    <col min="25" max="25" width="27.08203125" style="33" bestFit="1" customWidth="1"/>
    <col min="26" max="26" width="10.6640625" style="33" customWidth="1"/>
    <col min="27" max="27" width="9.4140625" style="33" customWidth="1"/>
    <col min="28" max="28" width="9" style="33"/>
    <col min="29" max="29" width="27.08203125" style="33" bestFit="1" customWidth="1"/>
    <col min="30" max="30" width="10.58203125" style="33" bestFit="1" customWidth="1"/>
    <col min="31" max="31" width="10.08203125" style="33" customWidth="1"/>
    <col min="32" max="32" width="11.08203125" style="33" customWidth="1"/>
    <col min="33" max="33" width="27.08203125" style="33" bestFit="1" customWidth="1"/>
    <col min="34" max="34" width="9.58203125" style="33" bestFit="1" customWidth="1"/>
    <col min="35" max="35" width="9" style="33"/>
    <col min="36" max="36" width="10.6640625" style="33" customWidth="1"/>
    <col min="37" max="37" width="27.08203125" style="33" bestFit="1" customWidth="1"/>
    <col min="38" max="40" width="10.6640625" style="33" customWidth="1"/>
    <col min="41" max="41" width="29.75" style="33" bestFit="1" customWidth="1"/>
    <col min="42" max="44" width="10.6640625" style="33" customWidth="1"/>
    <col min="45" max="45" width="27.08203125" style="33" bestFit="1" customWidth="1"/>
    <col min="46" max="46" width="13.4140625" style="33" customWidth="1"/>
    <col min="47" max="47" width="10.08203125" style="33" customWidth="1"/>
    <col min="48" max="48" width="11.58203125" style="33" customWidth="1"/>
    <col min="49" max="49" width="27.08203125" style="33" bestFit="1" customWidth="1"/>
    <col min="50" max="50" width="17.6640625" style="33" customWidth="1"/>
    <col min="51" max="52" width="9" style="33"/>
    <col min="53" max="53" width="26.9140625" style="33" bestFit="1" customWidth="1"/>
    <col min="54" max="54" width="14.1640625" style="33" bestFit="1" customWidth="1"/>
    <col min="55" max="56" width="9" style="33"/>
    <col min="57" max="57" width="26.9140625" style="33" bestFit="1" customWidth="1"/>
    <col min="58" max="58" width="14.1640625" style="33" bestFit="1" customWidth="1"/>
    <col min="59" max="60" width="9" style="33"/>
    <col min="61" max="61" width="26.9140625" style="33" bestFit="1" customWidth="1"/>
    <col min="62" max="62" width="14.1640625" style="33" bestFit="1" customWidth="1"/>
    <col min="63" max="16384" width="9" style="33"/>
  </cols>
  <sheetData>
    <row r="1" spans="1:62" ht="18" x14ac:dyDescent="0.4">
      <c r="A1" s="219" t="s">
        <v>625</v>
      </c>
    </row>
    <row r="2" spans="1:62" x14ac:dyDescent="0.3">
      <c r="A2" s="227" t="s">
        <v>598</v>
      </c>
      <c r="B2" s="229" t="s">
        <v>812</v>
      </c>
      <c r="E2" s="236" t="s">
        <v>598</v>
      </c>
      <c r="F2" s="229" t="s">
        <v>44</v>
      </c>
      <c r="I2" s="227" t="s">
        <v>598</v>
      </c>
      <c r="J2" s="229" t="s">
        <v>811</v>
      </c>
      <c r="K2" s="36"/>
      <c r="L2" s="26"/>
      <c r="M2" s="227" t="s">
        <v>598</v>
      </c>
      <c r="N2" s="229" t="s">
        <v>611</v>
      </c>
      <c r="O2" s="26"/>
      <c r="P2" s="9"/>
      <c r="Q2" s="227" t="s">
        <v>598</v>
      </c>
      <c r="R2" s="229" t="s">
        <v>615</v>
      </c>
      <c r="S2" s="9"/>
      <c r="T2" s="36"/>
      <c r="U2" s="227" t="s">
        <v>598</v>
      </c>
      <c r="V2" s="229" t="s">
        <v>86</v>
      </c>
      <c r="Y2" s="227" t="s">
        <v>598</v>
      </c>
      <c r="Z2" s="229" t="s">
        <v>87</v>
      </c>
      <c r="AC2" s="227" t="s">
        <v>598</v>
      </c>
      <c r="AD2" s="229" t="s">
        <v>88</v>
      </c>
      <c r="AG2" s="227" t="s">
        <v>598</v>
      </c>
      <c r="AH2" s="229" t="s">
        <v>89</v>
      </c>
      <c r="AK2" s="227" t="s">
        <v>598</v>
      </c>
      <c r="AL2" s="230" t="s">
        <v>816</v>
      </c>
      <c r="AO2" s="227" t="s">
        <v>598</v>
      </c>
      <c r="AP2" s="230" t="s">
        <v>817</v>
      </c>
      <c r="AS2" s="227" t="s">
        <v>598</v>
      </c>
      <c r="AT2" s="229" t="s">
        <v>628</v>
      </c>
      <c r="AW2" s="227" t="s">
        <v>598</v>
      </c>
      <c r="AX2" s="229" t="s">
        <v>633</v>
      </c>
      <c r="BA2" s="447" t="s">
        <v>598</v>
      </c>
      <c r="BB2" s="229" t="s">
        <v>807</v>
      </c>
      <c r="BE2" s="447" t="s">
        <v>598</v>
      </c>
      <c r="BF2" s="229" t="s">
        <v>808</v>
      </c>
      <c r="BI2" s="447" t="s">
        <v>598</v>
      </c>
      <c r="BJ2" s="229" t="s">
        <v>806</v>
      </c>
    </row>
    <row r="3" spans="1:62" x14ac:dyDescent="0.3">
      <c r="A3" s="227"/>
      <c r="B3" s="198"/>
      <c r="E3" s="236"/>
      <c r="F3" s="237"/>
      <c r="I3" s="227"/>
      <c r="J3" s="198"/>
      <c r="L3" s="18"/>
      <c r="M3" s="227"/>
      <c r="N3" s="198"/>
      <c r="O3" s="18"/>
      <c r="P3" s="10"/>
      <c r="Q3" s="227"/>
      <c r="R3" s="198"/>
      <c r="S3" s="10"/>
      <c r="U3" s="227"/>
      <c r="V3" s="198"/>
      <c r="Y3" s="227"/>
      <c r="Z3" s="198"/>
      <c r="AC3" s="227"/>
      <c r="AD3" s="198"/>
      <c r="AG3" s="227"/>
      <c r="AH3" s="198"/>
      <c r="AK3" s="227"/>
      <c r="AL3" s="198"/>
      <c r="AO3" s="227"/>
      <c r="AP3" s="198"/>
      <c r="AS3" s="227"/>
      <c r="AT3" s="198"/>
      <c r="AW3" s="227"/>
      <c r="AX3" s="198"/>
      <c r="BA3" s="447"/>
      <c r="BB3" s="448"/>
      <c r="BE3" s="447"/>
      <c r="BF3" s="448"/>
      <c r="BI3" s="447"/>
      <c r="BJ3" s="448"/>
    </row>
    <row r="4" spans="1:62" x14ac:dyDescent="0.3">
      <c r="A4" s="227" t="s">
        <v>599</v>
      </c>
      <c r="B4" s="198" t="s">
        <v>600</v>
      </c>
      <c r="E4" s="236" t="s">
        <v>599</v>
      </c>
      <c r="F4" s="237" t="s">
        <v>600</v>
      </c>
      <c r="I4" s="227" t="s">
        <v>599</v>
      </c>
      <c r="J4" s="198" t="s">
        <v>600</v>
      </c>
      <c r="L4" s="18"/>
      <c r="M4" s="227" t="s">
        <v>599</v>
      </c>
      <c r="N4" s="198" t="s">
        <v>600</v>
      </c>
      <c r="O4" s="18"/>
      <c r="P4" s="36"/>
      <c r="Q4" s="227" t="s">
        <v>599</v>
      </c>
      <c r="R4" s="198" t="s">
        <v>600</v>
      </c>
      <c r="S4" s="10"/>
      <c r="U4" s="227" t="s">
        <v>599</v>
      </c>
      <c r="V4" s="198" t="s">
        <v>600</v>
      </c>
      <c r="Y4" s="227" t="s">
        <v>599</v>
      </c>
      <c r="Z4" s="198" t="s">
        <v>600</v>
      </c>
      <c r="AC4" s="227" t="s">
        <v>599</v>
      </c>
      <c r="AD4" s="198" t="s">
        <v>600</v>
      </c>
      <c r="AG4" s="227" t="s">
        <v>599</v>
      </c>
      <c r="AH4" s="198" t="s">
        <v>600</v>
      </c>
      <c r="AK4" s="227" t="s">
        <v>599</v>
      </c>
      <c r="AL4" s="198" t="s">
        <v>600</v>
      </c>
      <c r="AO4" s="227" t="s">
        <v>599</v>
      </c>
      <c r="AP4" s="198" t="s">
        <v>600</v>
      </c>
      <c r="AS4" s="227" t="s">
        <v>599</v>
      </c>
      <c r="AT4" s="198" t="s">
        <v>629</v>
      </c>
      <c r="AW4" s="227" t="s">
        <v>599</v>
      </c>
      <c r="AX4" s="198" t="s">
        <v>629</v>
      </c>
      <c r="BA4" s="447" t="s">
        <v>796</v>
      </c>
      <c r="BB4" s="448"/>
      <c r="BE4" s="447" t="s">
        <v>796</v>
      </c>
      <c r="BF4" s="448"/>
      <c r="BI4" s="447" t="s">
        <v>796</v>
      </c>
      <c r="BJ4" s="448"/>
    </row>
    <row r="5" spans="1:62" x14ac:dyDescent="0.3">
      <c r="A5" s="227" t="s">
        <v>61</v>
      </c>
      <c r="B5" s="198" t="s">
        <v>61</v>
      </c>
      <c r="E5" s="236" t="s">
        <v>61</v>
      </c>
      <c r="F5" s="237" t="s">
        <v>61</v>
      </c>
      <c r="I5" s="227" t="s">
        <v>61</v>
      </c>
      <c r="J5" s="198" t="s">
        <v>61</v>
      </c>
      <c r="L5" s="18"/>
      <c r="M5" s="227" t="s">
        <v>61</v>
      </c>
      <c r="N5" s="198" t="s">
        <v>61</v>
      </c>
      <c r="O5" s="18"/>
      <c r="P5" s="10"/>
      <c r="Q5" s="227" t="s">
        <v>61</v>
      </c>
      <c r="R5" s="198" t="s">
        <v>61</v>
      </c>
      <c r="S5" s="10"/>
      <c r="U5" s="227" t="s">
        <v>61</v>
      </c>
      <c r="V5" s="198" t="s">
        <v>61</v>
      </c>
      <c r="Y5" s="227" t="s">
        <v>61</v>
      </c>
      <c r="Z5" s="198" t="s">
        <v>61</v>
      </c>
      <c r="AC5" s="227" t="s">
        <v>61</v>
      </c>
      <c r="AD5" s="198" t="s">
        <v>61</v>
      </c>
      <c r="AG5" s="227" t="s">
        <v>61</v>
      </c>
      <c r="AH5" s="198" t="s">
        <v>61</v>
      </c>
      <c r="AK5" s="227" t="s">
        <v>61</v>
      </c>
      <c r="AL5" s="198" t="s">
        <v>61</v>
      </c>
      <c r="AO5" s="227" t="s">
        <v>61</v>
      </c>
      <c r="AP5" s="198" t="s">
        <v>61</v>
      </c>
      <c r="AS5" s="227" t="s">
        <v>61</v>
      </c>
      <c r="AT5" s="198" t="s">
        <v>61</v>
      </c>
      <c r="AW5" s="227" t="s">
        <v>61</v>
      </c>
      <c r="AX5" s="198" t="s">
        <v>61</v>
      </c>
      <c r="BA5" s="447" t="s">
        <v>797</v>
      </c>
      <c r="BB5" s="448" t="s">
        <v>798</v>
      </c>
      <c r="BE5" s="447" t="s">
        <v>797</v>
      </c>
      <c r="BF5" s="448" t="s">
        <v>798</v>
      </c>
      <c r="BI5" s="447" t="s">
        <v>797</v>
      </c>
      <c r="BJ5" s="448" t="s">
        <v>798</v>
      </c>
    </row>
    <row r="6" spans="1:62" x14ac:dyDescent="0.3">
      <c r="A6" s="227" t="s">
        <v>601</v>
      </c>
      <c r="B6" s="198" t="s">
        <v>602</v>
      </c>
      <c r="E6" s="236" t="s">
        <v>601</v>
      </c>
      <c r="F6" s="237" t="s">
        <v>602</v>
      </c>
      <c r="I6" s="227" t="s">
        <v>601</v>
      </c>
      <c r="J6" s="198" t="s">
        <v>602</v>
      </c>
      <c r="L6" s="18"/>
      <c r="M6" s="227" t="s">
        <v>601</v>
      </c>
      <c r="N6" s="198" t="s">
        <v>602</v>
      </c>
      <c r="O6" s="18"/>
      <c r="P6" s="10"/>
      <c r="Q6" s="227" t="s">
        <v>601</v>
      </c>
      <c r="R6" s="198" t="s">
        <v>602</v>
      </c>
      <c r="S6" s="10"/>
      <c r="U6" s="227" t="s">
        <v>601</v>
      </c>
      <c r="V6" s="198" t="s">
        <v>602</v>
      </c>
      <c r="Y6" s="227" t="s">
        <v>601</v>
      </c>
      <c r="Z6" s="198" t="s">
        <v>602</v>
      </c>
      <c r="AC6" s="227" t="s">
        <v>601</v>
      </c>
      <c r="AD6" s="198" t="s">
        <v>602</v>
      </c>
      <c r="AG6" s="227" t="s">
        <v>601</v>
      </c>
      <c r="AH6" s="198" t="s">
        <v>602</v>
      </c>
      <c r="AK6" s="227" t="s">
        <v>601</v>
      </c>
      <c r="AL6" s="198" t="s">
        <v>602</v>
      </c>
      <c r="AO6" s="227" t="s">
        <v>601</v>
      </c>
      <c r="AP6" s="198" t="s">
        <v>602</v>
      </c>
      <c r="AS6" s="227" t="s">
        <v>601</v>
      </c>
      <c r="AT6" s="198" t="s">
        <v>602</v>
      </c>
      <c r="AW6" s="227" t="s">
        <v>601</v>
      </c>
      <c r="AX6" s="198" t="s">
        <v>602</v>
      </c>
      <c r="BA6" s="447" t="s">
        <v>799</v>
      </c>
      <c r="BB6" s="448" t="s">
        <v>793</v>
      </c>
      <c r="BE6" s="447" t="s">
        <v>799</v>
      </c>
      <c r="BF6" s="448">
        <v>0.57650000000000001</v>
      </c>
      <c r="BI6" s="447" t="s">
        <v>799</v>
      </c>
      <c r="BJ6" s="448">
        <v>0.83089999999999997</v>
      </c>
    </row>
    <row r="7" spans="1:62" x14ac:dyDescent="0.3">
      <c r="A7" s="227"/>
      <c r="B7" s="198"/>
      <c r="E7" s="236"/>
      <c r="F7" s="237"/>
      <c r="I7" s="227"/>
      <c r="J7" s="198"/>
      <c r="L7" s="18"/>
      <c r="M7" s="227"/>
      <c r="N7" s="198"/>
      <c r="O7" s="18"/>
      <c r="P7" s="10"/>
      <c r="Q7" s="227"/>
      <c r="R7" s="198"/>
      <c r="S7" s="10"/>
      <c r="U7" s="227"/>
      <c r="V7" s="198"/>
      <c r="Y7" s="227"/>
      <c r="Z7" s="198"/>
      <c r="AC7" s="227"/>
      <c r="AD7" s="198"/>
      <c r="AG7" s="227"/>
      <c r="AH7" s="198"/>
      <c r="AK7" s="227"/>
      <c r="AL7" s="198"/>
      <c r="AO7" s="227"/>
      <c r="AP7" s="198"/>
      <c r="AS7" s="227"/>
      <c r="AT7" s="198"/>
      <c r="AW7" s="227"/>
      <c r="AX7" s="198"/>
      <c r="BA7" s="447" t="s">
        <v>800</v>
      </c>
      <c r="BB7" s="448" t="s">
        <v>70</v>
      </c>
      <c r="BE7" s="447" t="s">
        <v>800</v>
      </c>
      <c r="BF7" s="448" t="s">
        <v>70</v>
      </c>
      <c r="BI7" s="447" t="s">
        <v>800</v>
      </c>
      <c r="BJ7" s="448" t="s">
        <v>70</v>
      </c>
    </row>
    <row r="8" spans="1:62" x14ac:dyDescent="0.3">
      <c r="A8" s="227" t="s">
        <v>582</v>
      </c>
      <c r="B8" s="198"/>
      <c r="E8" s="236" t="s">
        <v>582</v>
      </c>
      <c r="F8" s="237"/>
      <c r="I8" s="227" t="s">
        <v>582</v>
      </c>
      <c r="J8" s="198"/>
      <c r="L8" s="18"/>
      <c r="M8" s="227" t="s">
        <v>582</v>
      </c>
      <c r="N8" s="198"/>
      <c r="O8" s="18"/>
      <c r="P8" s="10"/>
      <c r="Q8" s="227" t="s">
        <v>582</v>
      </c>
      <c r="R8" s="198"/>
      <c r="S8" s="10"/>
      <c r="U8" s="227" t="s">
        <v>582</v>
      </c>
      <c r="V8" s="198"/>
      <c r="Y8" s="227" t="s">
        <v>582</v>
      </c>
      <c r="Z8" s="198"/>
      <c r="AC8" s="227" t="s">
        <v>582</v>
      </c>
      <c r="AD8" s="198"/>
      <c r="AG8" s="227" t="s">
        <v>582</v>
      </c>
      <c r="AH8" s="198"/>
      <c r="AK8" s="227" t="s">
        <v>582</v>
      </c>
      <c r="AL8" s="198"/>
      <c r="AO8" s="227" t="s">
        <v>582</v>
      </c>
      <c r="AP8" s="198"/>
      <c r="AS8" s="227" t="s">
        <v>582</v>
      </c>
      <c r="AT8" s="198"/>
      <c r="AW8" s="227" t="s">
        <v>582</v>
      </c>
      <c r="AX8" s="198"/>
      <c r="BA8" s="447" t="s">
        <v>801</v>
      </c>
      <c r="BB8" s="448" t="s">
        <v>264</v>
      </c>
      <c r="BE8" s="447" t="s">
        <v>801</v>
      </c>
      <c r="BF8" s="448" t="s">
        <v>264</v>
      </c>
      <c r="BI8" s="447" t="s">
        <v>801</v>
      </c>
      <c r="BJ8" s="448" t="s">
        <v>264</v>
      </c>
    </row>
    <row r="9" spans="1:62" x14ac:dyDescent="0.3">
      <c r="A9" s="227" t="s">
        <v>583</v>
      </c>
      <c r="B9" s="198">
        <v>1.1299999999999999E-2</v>
      </c>
      <c r="E9" s="236" t="s">
        <v>583</v>
      </c>
      <c r="F9" s="237">
        <v>4.0000000000000002E-4</v>
      </c>
      <c r="I9" s="227" t="s">
        <v>583</v>
      </c>
      <c r="J9" s="198">
        <v>2.8299999999999999E-2</v>
      </c>
      <c r="L9" s="18"/>
      <c r="M9" s="227" t="s">
        <v>583</v>
      </c>
      <c r="N9" s="198">
        <v>8.8300000000000003E-2</v>
      </c>
      <c r="O9" s="18"/>
      <c r="P9" s="10"/>
      <c r="Q9" s="227" t="s">
        <v>583</v>
      </c>
      <c r="R9" s="198">
        <v>2.41E-2</v>
      </c>
      <c r="S9" s="10"/>
      <c r="U9" s="227" t="s">
        <v>583</v>
      </c>
      <c r="V9" s="198">
        <v>2.24E-2</v>
      </c>
      <c r="Y9" s="227" t="s">
        <v>583</v>
      </c>
      <c r="Z9" s="198">
        <v>3.85E-2</v>
      </c>
      <c r="AC9" s="227" t="s">
        <v>583</v>
      </c>
      <c r="AD9" s="198">
        <v>0.02</v>
      </c>
      <c r="AG9" s="227" t="s">
        <v>583</v>
      </c>
      <c r="AH9" s="198">
        <v>0.08</v>
      </c>
      <c r="AK9" s="227" t="s">
        <v>583</v>
      </c>
      <c r="AL9" s="198">
        <v>0.72219999999999995</v>
      </c>
      <c r="AO9" s="227" t="s">
        <v>583</v>
      </c>
      <c r="AP9" s="198" t="s">
        <v>793</v>
      </c>
      <c r="AS9" s="227" t="s">
        <v>583</v>
      </c>
      <c r="AT9" s="198">
        <v>6.3E-3</v>
      </c>
      <c r="AW9" s="227" t="s">
        <v>583</v>
      </c>
      <c r="AX9" s="198">
        <v>4.87E-2</v>
      </c>
      <c r="BA9" s="447" t="s">
        <v>802</v>
      </c>
      <c r="BB9" s="448" t="s">
        <v>25</v>
      </c>
      <c r="BE9" s="447" t="s">
        <v>802</v>
      </c>
      <c r="BF9" s="448" t="s">
        <v>25</v>
      </c>
      <c r="BI9" s="447" t="s">
        <v>802</v>
      </c>
      <c r="BJ9" s="448" t="s">
        <v>25</v>
      </c>
    </row>
    <row r="10" spans="1:62" x14ac:dyDescent="0.3">
      <c r="A10" s="227" t="s">
        <v>584</v>
      </c>
      <c r="B10" s="198" t="s">
        <v>67</v>
      </c>
      <c r="E10" s="236" t="s">
        <v>584</v>
      </c>
      <c r="F10" s="237" t="s">
        <v>67</v>
      </c>
      <c r="I10" s="227" t="s">
        <v>584</v>
      </c>
      <c r="J10" s="198" t="s">
        <v>67</v>
      </c>
      <c r="L10" s="18"/>
      <c r="M10" s="227" t="s">
        <v>584</v>
      </c>
      <c r="N10" s="198" t="s">
        <v>67</v>
      </c>
      <c r="O10" s="18"/>
      <c r="P10" s="10"/>
      <c r="Q10" s="227" t="s">
        <v>584</v>
      </c>
      <c r="R10" s="198" t="s">
        <v>67</v>
      </c>
      <c r="S10" s="10"/>
      <c r="U10" s="227" t="s">
        <v>584</v>
      </c>
      <c r="V10" s="198" t="s">
        <v>67</v>
      </c>
      <c r="Y10" s="227" t="s">
        <v>584</v>
      </c>
      <c r="Z10" s="198" t="s">
        <v>67</v>
      </c>
      <c r="AC10" s="227" t="s">
        <v>584</v>
      </c>
      <c r="AD10" s="198" t="s">
        <v>67</v>
      </c>
      <c r="AG10" s="227" t="s">
        <v>584</v>
      </c>
      <c r="AH10" s="198" t="s">
        <v>67</v>
      </c>
      <c r="AK10" s="227" t="s">
        <v>584</v>
      </c>
      <c r="AL10" s="198" t="s">
        <v>67</v>
      </c>
      <c r="AO10" s="227" t="s">
        <v>584</v>
      </c>
      <c r="AP10" s="198" t="s">
        <v>67</v>
      </c>
      <c r="AS10" s="227" t="s">
        <v>584</v>
      </c>
      <c r="AT10" s="198" t="s">
        <v>67</v>
      </c>
      <c r="AW10" s="227" t="s">
        <v>584</v>
      </c>
      <c r="AX10" s="198" t="s">
        <v>67</v>
      </c>
      <c r="BA10" s="447"/>
      <c r="BB10" s="448"/>
      <c r="BE10" s="447"/>
      <c r="BF10" s="448"/>
      <c r="BI10" s="447"/>
      <c r="BJ10" s="448"/>
    </row>
    <row r="11" spans="1:62" x14ac:dyDescent="0.3">
      <c r="A11" s="227" t="s">
        <v>585</v>
      </c>
      <c r="B11" s="198" t="s">
        <v>69</v>
      </c>
      <c r="E11" s="236" t="s">
        <v>585</v>
      </c>
      <c r="F11" s="237" t="s">
        <v>64</v>
      </c>
      <c r="I11" s="227" t="s">
        <v>585</v>
      </c>
      <c r="J11" s="198" t="s">
        <v>69</v>
      </c>
      <c r="L11" s="18"/>
      <c r="M11" s="227" t="s">
        <v>585</v>
      </c>
      <c r="N11" s="198" t="s">
        <v>70</v>
      </c>
      <c r="O11" s="18"/>
      <c r="P11" s="10"/>
      <c r="Q11" s="227" t="s">
        <v>585</v>
      </c>
      <c r="R11" s="198" t="s">
        <v>69</v>
      </c>
      <c r="S11" s="10"/>
      <c r="U11" s="227" t="s">
        <v>585</v>
      </c>
      <c r="V11" s="198" t="s">
        <v>69</v>
      </c>
      <c r="Y11" s="227" t="s">
        <v>585</v>
      </c>
      <c r="Z11" s="198" t="s">
        <v>69</v>
      </c>
      <c r="AC11" s="227" t="s">
        <v>585</v>
      </c>
      <c r="AD11" s="198" t="s">
        <v>69</v>
      </c>
      <c r="AG11" s="227" t="s">
        <v>585</v>
      </c>
      <c r="AH11" s="198" t="s">
        <v>70</v>
      </c>
      <c r="AK11" s="227" t="s">
        <v>585</v>
      </c>
      <c r="AL11" s="198" t="s">
        <v>70</v>
      </c>
      <c r="AO11" s="227" t="s">
        <v>585</v>
      </c>
      <c r="AP11" s="198" t="s">
        <v>70</v>
      </c>
      <c r="AS11" s="227" t="s">
        <v>585</v>
      </c>
      <c r="AT11" s="198" t="s">
        <v>74</v>
      </c>
      <c r="AW11" s="227" t="s">
        <v>585</v>
      </c>
      <c r="AX11" s="198" t="s">
        <v>69</v>
      </c>
      <c r="BA11" s="447" t="s">
        <v>803</v>
      </c>
      <c r="BB11" s="448"/>
      <c r="BE11" s="447" t="s">
        <v>803</v>
      </c>
      <c r="BF11" s="448"/>
      <c r="BI11" s="447" t="s">
        <v>803</v>
      </c>
      <c r="BJ11" s="448"/>
    </row>
    <row r="12" spans="1:62" x14ac:dyDescent="0.3">
      <c r="A12" s="227" t="s">
        <v>586</v>
      </c>
      <c r="B12" s="198" t="s">
        <v>71</v>
      </c>
      <c r="E12" s="236" t="s">
        <v>586</v>
      </c>
      <c r="F12" s="237" t="s">
        <v>71</v>
      </c>
      <c r="I12" s="227" t="s">
        <v>586</v>
      </c>
      <c r="J12" s="198" t="s">
        <v>71</v>
      </c>
      <c r="L12" s="18"/>
      <c r="M12" s="227" t="s">
        <v>586</v>
      </c>
      <c r="N12" s="198" t="s">
        <v>25</v>
      </c>
      <c r="O12" s="18"/>
      <c r="P12" s="10"/>
      <c r="Q12" s="227" t="s">
        <v>586</v>
      </c>
      <c r="R12" s="198" t="s">
        <v>71</v>
      </c>
      <c r="S12" s="10"/>
      <c r="U12" s="227" t="s">
        <v>586</v>
      </c>
      <c r="V12" s="198" t="s">
        <v>71</v>
      </c>
      <c r="Y12" s="227" t="s">
        <v>586</v>
      </c>
      <c r="Z12" s="198" t="s">
        <v>71</v>
      </c>
      <c r="AC12" s="227" t="s">
        <v>586</v>
      </c>
      <c r="AD12" s="198" t="s">
        <v>71</v>
      </c>
      <c r="AG12" s="227" t="s">
        <v>586</v>
      </c>
      <c r="AH12" s="198" t="s">
        <v>25</v>
      </c>
      <c r="AK12" s="227" t="s">
        <v>586</v>
      </c>
      <c r="AL12" s="198" t="s">
        <v>25</v>
      </c>
      <c r="AO12" s="227" t="s">
        <v>586</v>
      </c>
      <c r="AP12" s="198" t="s">
        <v>25</v>
      </c>
      <c r="AS12" s="227" t="s">
        <v>586</v>
      </c>
      <c r="AT12" s="198" t="s">
        <v>71</v>
      </c>
      <c r="AW12" s="227" t="s">
        <v>586</v>
      </c>
      <c r="AX12" s="198" t="s">
        <v>71</v>
      </c>
      <c r="BA12" s="447" t="s">
        <v>804</v>
      </c>
      <c r="BB12" s="448">
        <v>3</v>
      </c>
      <c r="BE12" s="447" t="s">
        <v>804</v>
      </c>
      <c r="BF12" s="448">
        <v>3</v>
      </c>
      <c r="BI12" s="447" t="s">
        <v>804</v>
      </c>
      <c r="BJ12" s="448">
        <v>7</v>
      </c>
    </row>
    <row r="13" spans="1:62" x14ac:dyDescent="0.3">
      <c r="A13" s="227" t="s">
        <v>587</v>
      </c>
      <c r="B13" s="198" t="s">
        <v>72</v>
      </c>
      <c r="E13" s="236" t="s">
        <v>587</v>
      </c>
      <c r="F13" s="237" t="s">
        <v>72</v>
      </c>
      <c r="I13" s="227" t="s">
        <v>587</v>
      </c>
      <c r="J13" s="198" t="s">
        <v>72</v>
      </c>
      <c r="L13" s="18"/>
      <c r="M13" s="227" t="s">
        <v>587</v>
      </c>
      <c r="N13" s="198" t="s">
        <v>72</v>
      </c>
      <c r="O13" s="18"/>
      <c r="P13" s="10"/>
      <c r="Q13" s="227" t="s">
        <v>587</v>
      </c>
      <c r="R13" s="198" t="s">
        <v>72</v>
      </c>
      <c r="S13" s="10"/>
      <c r="U13" s="227" t="s">
        <v>587</v>
      </c>
      <c r="V13" s="198" t="s">
        <v>72</v>
      </c>
      <c r="Y13" s="227" t="s">
        <v>587</v>
      </c>
      <c r="Z13" s="198" t="s">
        <v>72</v>
      </c>
      <c r="AC13" s="227" t="s">
        <v>587</v>
      </c>
      <c r="AD13" s="198" t="s">
        <v>72</v>
      </c>
      <c r="AG13" s="227" t="s">
        <v>587</v>
      </c>
      <c r="AH13" s="198" t="s">
        <v>72</v>
      </c>
      <c r="AK13" s="227" t="s">
        <v>587</v>
      </c>
      <c r="AL13" s="198" t="s">
        <v>72</v>
      </c>
      <c r="AO13" s="227" t="s">
        <v>587</v>
      </c>
      <c r="AP13" s="198" t="s">
        <v>72</v>
      </c>
      <c r="AS13" s="227" t="s">
        <v>587</v>
      </c>
      <c r="AT13" s="198" t="s">
        <v>72</v>
      </c>
      <c r="AW13" s="227" t="s">
        <v>587</v>
      </c>
      <c r="AX13" s="198" t="s">
        <v>72</v>
      </c>
      <c r="BA13" s="447" t="s">
        <v>805</v>
      </c>
      <c r="BB13" s="448">
        <v>2</v>
      </c>
      <c r="BE13" s="447" t="s">
        <v>805</v>
      </c>
      <c r="BF13" s="448">
        <v>2</v>
      </c>
      <c r="BI13" s="447" t="s">
        <v>805</v>
      </c>
      <c r="BJ13" s="448">
        <v>2</v>
      </c>
    </row>
    <row r="14" spans="1:62" x14ac:dyDescent="0.3">
      <c r="A14" s="227" t="s">
        <v>588</v>
      </c>
      <c r="B14" s="198" t="s">
        <v>589</v>
      </c>
      <c r="E14" s="236" t="s">
        <v>588</v>
      </c>
      <c r="F14" s="237" t="s">
        <v>739</v>
      </c>
      <c r="I14" s="227" t="s">
        <v>588</v>
      </c>
      <c r="J14" s="198" t="s">
        <v>608</v>
      </c>
      <c r="L14" s="18"/>
      <c r="M14" s="227" t="s">
        <v>588</v>
      </c>
      <c r="N14" s="198" t="s">
        <v>612</v>
      </c>
      <c r="O14" s="18"/>
      <c r="P14" s="10"/>
      <c r="Q14" s="227" t="s">
        <v>588</v>
      </c>
      <c r="R14" s="198" t="s">
        <v>616</v>
      </c>
      <c r="S14" s="10"/>
      <c r="U14" s="227" t="s">
        <v>588</v>
      </c>
      <c r="V14" s="198" t="s">
        <v>742</v>
      </c>
      <c r="Y14" s="227" t="s">
        <v>588</v>
      </c>
      <c r="Z14" s="198" t="s">
        <v>619</v>
      </c>
      <c r="AC14" s="227" t="s">
        <v>588</v>
      </c>
      <c r="AD14" s="198" t="s">
        <v>745</v>
      </c>
      <c r="AG14" s="227" t="s">
        <v>588</v>
      </c>
      <c r="AH14" s="198" t="s">
        <v>743</v>
      </c>
      <c r="AK14" s="227" t="s">
        <v>588</v>
      </c>
      <c r="AL14" s="198" t="s">
        <v>790</v>
      </c>
      <c r="AO14" s="227" t="s">
        <v>588</v>
      </c>
      <c r="AP14" s="198" t="s">
        <v>794</v>
      </c>
      <c r="AS14" s="227" t="s">
        <v>588</v>
      </c>
      <c r="AT14" s="198" t="s">
        <v>630</v>
      </c>
      <c r="AW14" s="227" t="s">
        <v>588</v>
      </c>
      <c r="AX14" s="198" t="s">
        <v>634</v>
      </c>
    </row>
    <row r="15" spans="1:62" s="37" customFormat="1" x14ac:dyDescent="0.3">
      <c r="A15" s="227" t="s">
        <v>590</v>
      </c>
      <c r="B15" s="198">
        <v>891</v>
      </c>
      <c r="E15" s="236" t="s">
        <v>590</v>
      </c>
      <c r="F15" s="237">
        <v>412</v>
      </c>
      <c r="I15" s="227" t="s">
        <v>590</v>
      </c>
      <c r="J15" s="198">
        <v>608.5</v>
      </c>
      <c r="L15" s="18"/>
      <c r="M15" s="227" t="s">
        <v>590</v>
      </c>
      <c r="N15" s="198">
        <v>710.5</v>
      </c>
      <c r="O15" s="18"/>
      <c r="P15" s="18"/>
      <c r="Q15" s="227" t="s">
        <v>590</v>
      </c>
      <c r="R15" s="198">
        <v>931.5</v>
      </c>
      <c r="S15" s="18"/>
      <c r="U15" s="227" t="s">
        <v>590</v>
      </c>
      <c r="V15" s="198">
        <v>926.5</v>
      </c>
      <c r="Y15" s="227" t="s">
        <v>590</v>
      </c>
      <c r="Z15" s="198">
        <v>976.5</v>
      </c>
      <c r="AC15" s="227" t="s">
        <v>590</v>
      </c>
      <c r="AD15" s="198">
        <v>137.5</v>
      </c>
      <c r="AG15" s="227" t="s">
        <v>590</v>
      </c>
      <c r="AH15" s="198">
        <v>264.5</v>
      </c>
      <c r="AK15" s="227" t="s">
        <v>590</v>
      </c>
      <c r="AL15" s="198">
        <v>397.5</v>
      </c>
      <c r="AO15" s="227" t="s">
        <v>590</v>
      </c>
      <c r="AP15" s="198">
        <v>405</v>
      </c>
      <c r="AS15" s="227" t="s">
        <v>590</v>
      </c>
      <c r="AT15" s="198">
        <v>492.5</v>
      </c>
      <c r="AW15" s="227" t="s">
        <v>590</v>
      </c>
      <c r="AX15" s="198">
        <v>989.5</v>
      </c>
    </row>
    <row r="16" spans="1:62" x14ac:dyDescent="0.3">
      <c r="A16" s="227"/>
      <c r="B16" s="198"/>
      <c r="E16" s="236"/>
      <c r="F16" s="237"/>
      <c r="I16" s="227"/>
      <c r="J16" s="198"/>
      <c r="L16" s="18"/>
      <c r="M16" s="227"/>
      <c r="N16" s="198"/>
      <c r="O16" s="18"/>
      <c r="P16" s="10"/>
      <c r="Q16" s="227"/>
      <c r="R16" s="198"/>
      <c r="S16" s="10"/>
      <c r="U16" s="227"/>
      <c r="V16" s="198"/>
      <c r="Y16" s="227"/>
      <c r="Z16" s="198"/>
      <c r="AC16" s="227"/>
      <c r="AD16" s="198"/>
      <c r="AG16" s="227"/>
      <c r="AH16" s="198"/>
      <c r="AK16" s="227"/>
      <c r="AL16" s="198"/>
      <c r="AO16" s="227"/>
      <c r="AP16" s="198"/>
      <c r="AS16" s="227"/>
      <c r="AT16" s="198"/>
      <c r="AW16" s="227"/>
      <c r="AX16" s="198"/>
    </row>
    <row r="17" spans="1:51" x14ac:dyDescent="0.3">
      <c r="A17" s="227" t="s">
        <v>591</v>
      </c>
      <c r="B17" s="198"/>
      <c r="E17" s="236" t="s">
        <v>591</v>
      </c>
      <c r="F17" s="237"/>
      <c r="I17" s="227" t="s">
        <v>591</v>
      </c>
      <c r="J17" s="198"/>
      <c r="L17" s="18"/>
      <c r="M17" s="227" t="s">
        <v>591</v>
      </c>
      <c r="N17" s="198"/>
      <c r="O17" s="18"/>
      <c r="P17" s="10"/>
      <c r="Q17" s="227" t="s">
        <v>591</v>
      </c>
      <c r="R17" s="198"/>
      <c r="S17" s="10"/>
      <c r="U17" s="227" t="s">
        <v>591</v>
      </c>
      <c r="V17" s="198"/>
      <c r="Y17" s="227" t="s">
        <v>591</v>
      </c>
      <c r="Z17" s="198"/>
      <c r="AC17" s="227" t="s">
        <v>591</v>
      </c>
      <c r="AD17" s="198"/>
      <c r="AG17" s="227" t="s">
        <v>591</v>
      </c>
      <c r="AH17" s="198"/>
      <c r="AK17" s="227" t="s">
        <v>591</v>
      </c>
      <c r="AL17" s="198"/>
      <c r="AO17" s="227" t="s">
        <v>591</v>
      </c>
      <c r="AP17" s="198"/>
      <c r="AS17" s="227" t="s">
        <v>591</v>
      </c>
      <c r="AT17" s="198"/>
      <c r="AW17" s="227" t="s">
        <v>591</v>
      </c>
      <c r="AX17" s="198"/>
    </row>
    <row r="18" spans="1:51" x14ac:dyDescent="0.3">
      <c r="A18" s="227" t="s">
        <v>592</v>
      </c>
      <c r="B18" s="198" t="s">
        <v>593</v>
      </c>
      <c r="E18" s="236" t="s">
        <v>592</v>
      </c>
      <c r="F18" s="237" t="s">
        <v>740</v>
      </c>
      <c r="I18" s="227" t="s">
        <v>592</v>
      </c>
      <c r="J18" s="198" t="s">
        <v>609</v>
      </c>
      <c r="L18" s="18"/>
      <c r="M18" s="227" t="s">
        <v>592</v>
      </c>
      <c r="N18" s="198" t="s">
        <v>613</v>
      </c>
      <c r="O18" s="18"/>
      <c r="P18" s="10"/>
      <c r="Q18" s="227" t="s">
        <v>592</v>
      </c>
      <c r="R18" s="198" t="s">
        <v>617</v>
      </c>
      <c r="S18" s="10"/>
      <c r="U18" s="227" t="s">
        <v>592</v>
      </c>
      <c r="V18" s="198" t="s">
        <v>593</v>
      </c>
      <c r="Y18" s="227" t="s">
        <v>592</v>
      </c>
      <c r="Z18" s="198" t="s">
        <v>620</v>
      </c>
      <c r="AC18" s="227" t="s">
        <v>592</v>
      </c>
      <c r="AD18" s="198" t="s">
        <v>622</v>
      </c>
      <c r="AG18" s="227" t="s">
        <v>592</v>
      </c>
      <c r="AH18" s="198" t="s">
        <v>744</v>
      </c>
      <c r="AK18" s="227" t="s">
        <v>592</v>
      </c>
      <c r="AL18" s="198" t="s">
        <v>791</v>
      </c>
      <c r="AO18" s="227" t="s">
        <v>592</v>
      </c>
      <c r="AP18" s="198" t="s">
        <v>791</v>
      </c>
      <c r="AS18" s="227" t="s">
        <v>592</v>
      </c>
      <c r="AT18" s="198" t="s">
        <v>631</v>
      </c>
      <c r="AW18" s="227" t="s">
        <v>592</v>
      </c>
      <c r="AX18" s="198" t="s">
        <v>635</v>
      </c>
    </row>
    <row r="19" spans="1:51" x14ac:dyDescent="0.3">
      <c r="A19" s="227" t="s">
        <v>594</v>
      </c>
      <c r="B19" s="198" t="s">
        <v>595</v>
      </c>
      <c r="E19" s="236" t="s">
        <v>594</v>
      </c>
      <c r="F19" s="237" t="s">
        <v>741</v>
      </c>
      <c r="I19" s="227" t="s">
        <v>594</v>
      </c>
      <c r="J19" s="198" t="s">
        <v>610</v>
      </c>
      <c r="L19" s="18"/>
      <c r="M19" s="227" t="s">
        <v>594</v>
      </c>
      <c r="N19" s="198" t="s">
        <v>614</v>
      </c>
      <c r="O19" s="18"/>
      <c r="P19" s="10"/>
      <c r="Q19" s="227" t="s">
        <v>594</v>
      </c>
      <c r="R19" s="198" t="s">
        <v>618</v>
      </c>
      <c r="S19" s="10"/>
      <c r="U19" s="227" t="s">
        <v>594</v>
      </c>
      <c r="V19" s="198" t="s">
        <v>595</v>
      </c>
      <c r="Y19" s="227" t="s">
        <v>594</v>
      </c>
      <c r="Z19" s="198" t="s">
        <v>621</v>
      </c>
      <c r="AC19" s="227" t="s">
        <v>594</v>
      </c>
      <c r="AD19" s="198" t="s">
        <v>623</v>
      </c>
      <c r="AG19" s="227" t="s">
        <v>594</v>
      </c>
      <c r="AH19" s="198" t="s">
        <v>624</v>
      </c>
      <c r="AK19" s="227" t="s">
        <v>594</v>
      </c>
      <c r="AL19" s="198" t="s">
        <v>792</v>
      </c>
      <c r="AO19" s="227" t="s">
        <v>594</v>
      </c>
      <c r="AP19" s="198" t="s">
        <v>795</v>
      </c>
      <c r="AS19" s="227" t="s">
        <v>594</v>
      </c>
      <c r="AT19" s="198" t="s">
        <v>632</v>
      </c>
      <c r="AW19" s="227" t="s">
        <v>594</v>
      </c>
      <c r="AX19" s="198" t="s">
        <v>636</v>
      </c>
    </row>
    <row r="20" spans="1:51" x14ac:dyDescent="0.3">
      <c r="A20" s="227" t="s">
        <v>596</v>
      </c>
      <c r="B20" s="198">
        <v>-1</v>
      </c>
      <c r="E20" s="236" t="s">
        <v>596</v>
      </c>
      <c r="F20" s="237">
        <v>-1</v>
      </c>
      <c r="I20" s="227" t="s">
        <v>596</v>
      </c>
      <c r="J20" s="198">
        <v>-1</v>
      </c>
      <c r="L20" s="18"/>
      <c r="M20" s="227" t="s">
        <v>596</v>
      </c>
      <c r="N20" s="198">
        <v>0</v>
      </c>
      <c r="O20" s="18"/>
      <c r="P20" s="10"/>
      <c r="Q20" s="227" t="s">
        <v>596</v>
      </c>
      <c r="R20" s="198">
        <v>-1</v>
      </c>
      <c r="S20" s="10"/>
      <c r="U20" s="227" t="s">
        <v>596</v>
      </c>
      <c r="V20" s="198">
        <v>-1</v>
      </c>
      <c r="Y20" s="227" t="s">
        <v>596</v>
      </c>
      <c r="Z20" s="198">
        <v>-1</v>
      </c>
      <c r="AC20" s="227" t="s">
        <v>596</v>
      </c>
      <c r="AD20" s="198">
        <v>-1</v>
      </c>
      <c r="AG20" s="227" t="s">
        <v>596</v>
      </c>
      <c r="AH20" s="198">
        <v>-1</v>
      </c>
      <c r="AK20" s="227" t="s">
        <v>596</v>
      </c>
      <c r="AL20" s="198">
        <v>0</v>
      </c>
      <c r="AO20" s="227" t="s">
        <v>596</v>
      </c>
      <c r="AP20" s="198">
        <v>0</v>
      </c>
      <c r="AS20" s="227" t="s">
        <v>596</v>
      </c>
      <c r="AT20" s="198">
        <v>-2</v>
      </c>
      <c r="AW20" s="227" t="s">
        <v>596</v>
      </c>
      <c r="AX20" s="198">
        <v>-1</v>
      </c>
    </row>
    <row r="21" spans="1:51" x14ac:dyDescent="0.3">
      <c r="A21" s="227" t="s">
        <v>597</v>
      </c>
      <c r="B21" s="198">
        <v>-1</v>
      </c>
      <c r="E21" s="236" t="s">
        <v>597</v>
      </c>
      <c r="F21" s="237">
        <v>-1</v>
      </c>
      <c r="I21" s="227" t="s">
        <v>597</v>
      </c>
      <c r="J21" s="198">
        <v>-1</v>
      </c>
      <c r="L21" s="18"/>
      <c r="M21" s="227" t="s">
        <v>597</v>
      </c>
      <c r="N21" s="198">
        <v>-1</v>
      </c>
      <c r="O21" s="18"/>
      <c r="P21" s="10"/>
      <c r="Q21" s="227" t="s">
        <v>597</v>
      </c>
      <c r="R21" s="198">
        <v>-1</v>
      </c>
      <c r="S21" s="10"/>
      <c r="U21" s="227" t="s">
        <v>597</v>
      </c>
      <c r="V21" s="198">
        <v>-1</v>
      </c>
      <c r="Y21" s="227" t="s">
        <v>597</v>
      </c>
      <c r="Z21" s="198">
        <v>-1</v>
      </c>
      <c r="AC21" s="227" t="s">
        <v>597</v>
      </c>
      <c r="AD21" s="198">
        <v>-1</v>
      </c>
      <c r="AG21" s="227" t="s">
        <v>597</v>
      </c>
      <c r="AH21" s="198">
        <v>-1</v>
      </c>
      <c r="AK21" s="227" t="s">
        <v>597</v>
      </c>
      <c r="AL21" s="198">
        <v>0</v>
      </c>
      <c r="AO21" s="227" t="s">
        <v>597</v>
      </c>
      <c r="AP21" s="198">
        <v>0</v>
      </c>
      <c r="AS21" s="227" t="s">
        <v>597</v>
      </c>
      <c r="AT21" s="198">
        <v>-1</v>
      </c>
      <c r="AW21" s="227" t="s">
        <v>597</v>
      </c>
      <c r="AX21" s="198">
        <v>-1</v>
      </c>
    </row>
    <row r="22" spans="1:51" x14ac:dyDescent="0.3">
      <c r="A22" s="18"/>
      <c r="B22" s="10"/>
      <c r="I22" s="18"/>
      <c r="J22" s="10"/>
    </row>
    <row r="23" spans="1:51" x14ac:dyDescent="0.3">
      <c r="A23" s="18"/>
      <c r="B23" s="10"/>
      <c r="I23" s="18"/>
      <c r="J23" s="10"/>
    </row>
    <row r="24" spans="1:51" x14ac:dyDescent="0.3">
      <c r="A24" s="229" t="s">
        <v>812</v>
      </c>
      <c r="B24" s="228" t="s">
        <v>602</v>
      </c>
      <c r="C24" s="228" t="s">
        <v>600</v>
      </c>
      <c r="D24" s="35"/>
      <c r="E24" s="30" t="s">
        <v>44</v>
      </c>
      <c r="F24" s="228" t="s">
        <v>602</v>
      </c>
      <c r="G24" s="228" t="s">
        <v>600</v>
      </c>
      <c r="H24" s="35"/>
      <c r="I24" s="229" t="s">
        <v>811</v>
      </c>
      <c r="J24" s="228" t="s">
        <v>602</v>
      </c>
      <c r="K24" s="228" t="s">
        <v>600</v>
      </c>
      <c r="M24" s="230" t="s">
        <v>23</v>
      </c>
      <c r="N24" s="228" t="s">
        <v>602</v>
      </c>
      <c r="O24" s="228" t="s">
        <v>600</v>
      </c>
      <c r="Q24" s="230" t="s">
        <v>24</v>
      </c>
      <c r="R24" s="228" t="s">
        <v>602</v>
      </c>
      <c r="S24" s="228" t="s">
        <v>600</v>
      </c>
      <c r="U24" s="230" t="s">
        <v>86</v>
      </c>
      <c r="V24" s="228" t="s">
        <v>602</v>
      </c>
      <c r="W24" s="228" t="s">
        <v>600</v>
      </c>
      <c r="Y24" s="230" t="s">
        <v>87</v>
      </c>
      <c r="Z24" s="228" t="s">
        <v>602</v>
      </c>
      <c r="AA24" s="228" t="s">
        <v>600</v>
      </c>
      <c r="AC24" s="230" t="s">
        <v>88</v>
      </c>
      <c r="AD24" s="228" t="s">
        <v>602</v>
      </c>
      <c r="AE24" s="228" t="s">
        <v>600</v>
      </c>
      <c r="AG24" s="229" t="s">
        <v>89</v>
      </c>
      <c r="AH24" s="228" t="s">
        <v>602</v>
      </c>
      <c r="AI24" s="228" t="s">
        <v>600</v>
      </c>
      <c r="AK24" s="230" t="s">
        <v>816</v>
      </c>
      <c r="AL24" s="426" t="s">
        <v>602</v>
      </c>
      <c r="AM24" s="426" t="s">
        <v>600</v>
      </c>
      <c r="AO24" s="230" t="s">
        <v>817</v>
      </c>
      <c r="AP24" s="426" t="s">
        <v>602</v>
      </c>
      <c r="AQ24" s="426" t="s">
        <v>600</v>
      </c>
      <c r="AS24" s="229" t="s">
        <v>628</v>
      </c>
      <c r="AT24" s="228" t="s">
        <v>602</v>
      </c>
      <c r="AU24" s="228" t="s">
        <v>629</v>
      </c>
      <c r="AW24" s="229" t="s">
        <v>633</v>
      </c>
      <c r="AX24" s="228" t="s">
        <v>602</v>
      </c>
      <c r="AY24" s="228" t="s">
        <v>629</v>
      </c>
    </row>
    <row r="25" spans="1:51" x14ac:dyDescent="0.3">
      <c r="A25" s="227" t="s">
        <v>603</v>
      </c>
      <c r="B25" s="198"/>
      <c r="C25" s="198"/>
      <c r="D25" s="34"/>
      <c r="E25" s="236" t="s">
        <v>603</v>
      </c>
      <c r="F25" s="237"/>
      <c r="G25" s="237"/>
      <c r="H25" s="34"/>
      <c r="I25" s="227" t="s">
        <v>603</v>
      </c>
      <c r="J25" s="198"/>
      <c r="K25" s="198"/>
      <c r="M25" s="227" t="s">
        <v>603</v>
      </c>
      <c r="N25" s="198"/>
      <c r="O25" s="198"/>
      <c r="Q25" s="227" t="s">
        <v>603</v>
      </c>
      <c r="R25" s="198"/>
      <c r="S25" s="198"/>
      <c r="U25" s="227" t="s">
        <v>603</v>
      </c>
      <c r="V25" s="198"/>
      <c r="W25" s="198"/>
      <c r="Y25" s="227" t="s">
        <v>603</v>
      </c>
      <c r="Z25" s="198"/>
      <c r="AA25" s="198"/>
      <c r="AC25" s="227" t="s">
        <v>603</v>
      </c>
      <c r="AD25" s="198"/>
      <c r="AE25" s="198"/>
      <c r="AG25" s="227" t="s">
        <v>603</v>
      </c>
      <c r="AH25" s="198"/>
      <c r="AI25" s="198"/>
      <c r="AK25" s="227" t="s">
        <v>603</v>
      </c>
      <c r="AL25" s="198"/>
      <c r="AM25" s="198"/>
      <c r="AO25" s="227" t="s">
        <v>603</v>
      </c>
      <c r="AP25" s="198"/>
      <c r="AQ25" s="198"/>
      <c r="AS25" s="227" t="s">
        <v>603</v>
      </c>
      <c r="AT25" s="198"/>
      <c r="AU25" s="198"/>
      <c r="AW25" s="227" t="s">
        <v>603</v>
      </c>
      <c r="AX25" s="198"/>
      <c r="AY25" s="198"/>
    </row>
    <row r="26" spans="1:51" x14ac:dyDescent="0.3">
      <c r="A26" s="227" t="s">
        <v>604</v>
      </c>
      <c r="B26" s="198"/>
      <c r="C26" s="198"/>
      <c r="D26" s="34"/>
      <c r="E26" s="236" t="s">
        <v>604</v>
      </c>
      <c r="F26" s="237"/>
      <c r="G26" s="237"/>
      <c r="H26" s="34"/>
      <c r="I26" s="227" t="s">
        <v>604</v>
      </c>
      <c r="J26" s="198"/>
      <c r="K26" s="198"/>
      <c r="M26" s="227" t="s">
        <v>604</v>
      </c>
      <c r="N26" s="198"/>
      <c r="O26" s="198"/>
      <c r="Q26" s="227" t="s">
        <v>604</v>
      </c>
      <c r="R26" s="198"/>
      <c r="S26" s="198"/>
      <c r="U26" s="227" t="s">
        <v>604</v>
      </c>
      <c r="V26" s="198"/>
      <c r="W26" s="198"/>
      <c r="Y26" s="227" t="s">
        <v>604</v>
      </c>
      <c r="Z26" s="198"/>
      <c r="AA26" s="198"/>
      <c r="AC26" s="227" t="s">
        <v>604</v>
      </c>
      <c r="AD26" s="198"/>
      <c r="AE26" s="198"/>
      <c r="AG26" s="227" t="s">
        <v>604</v>
      </c>
      <c r="AH26" s="198"/>
      <c r="AI26" s="198"/>
      <c r="AK26" s="227" t="s">
        <v>604</v>
      </c>
      <c r="AL26" s="198"/>
      <c r="AM26" s="198"/>
      <c r="AO26" s="227" t="s">
        <v>604</v>
      </c>
      <c r="AP26" s="198"/>
      <c r="AQ26" s="198"/>
      <c r="AS26" s="227" t="s">
        <v>604</v>
      </c>
      <c r="AT26" s="198"/>
      <c r="AU26" s="198"/>
      <c r="AW26" s="227" t="s">
        <v>604</v>
      </c>
      <c r="AX26" s="198"/>
      <c r="AY26" s="198"/>
    </row>
    <row r="27" spans="1:51" s="37" customFormat="1" x14ac:dyDescent="0.3">
      <c r="A27" s="227" t="s">
        <v>605</v>
      </c>
      <c r="B27" s="198">
        <v>0.91849999999999998</v>
      </c>
      <c r="C27" s="198">
        <v>0.95240000000000002</v>
      </c>
      <c r="D27" s="38"/>
      <c r="E27" s="236" t="s">
        <v>605</v>
      </c>
      <c r="F27" s="237">
        <v>0.81610000000000005</v>
      </c>
      <c r="G27" s="237">
        <v>0.66930000000000001</v>
      </c>
      <c r="H27" s="38"/>
      <c r="I27" s="227" t="s">
        <v>605</v>
      </c>
      <c r="J27" s="198">
        <v>0.95509999999999995</v>
      </c>
      <c r="K27" s="198">
        <v>0.87490000000000001</v>
      </c>
      <c r="M27" s="227" t="s">
        <v>605</v>
      </c>
      <c r="N27" s="198">
        <v>0.89980000000000004</v>
      </c>
      <c r="O27" s="198">
        <v>0.91590000000000005</v>
      </c>
      <c r="Q27" s="227" t="s">
        <v>605</v>
      </c>
      <c r="R27" s="198">
        <v>0.87580000000000002</v>
      </c>
      <c r="S27" s="198">
        <v>0.87370000000000003</v>
      </c>
      <c r="U27" s="227" t="s">
        <v>605</v>
      </c>
      <c r="V27" s="198">
        <v>0.92459999999999998</v>
      </c>
      <c r="W27" s="198">
        <v>0.94830000000000003</v>
      </c>
      <c r="Y27" s="227" t="s">
        <v>605</v>
      </c>
      <c r="Z27" s="198">
        <v>0.91410000000000002</v>
      </c>
      <c r="AA27" s="198">
        <v>0.95740000000000003</v>
      </c>
      <c r="AC27" s="227" t="s">
        <v>605</v>
      </c>
      <c r="AD27" s="198">
        <v>0.89659999999999995</v>
      </c>
      <c r="AE27" s="198">
        <v>0.90500000000000003</v>
      </c>
      <c r="AG27" s="227" t="s">
        <v>605</v>
      </c>
      <c r="AH27" s="198">
        <v>0.94159999999999999</v>
      </c>
      <c r="AI27" s="198">
        <v>0.91739999999999999</v>
      </c>
      <c r="AK27" s="227" t="s">
        <v>605</v>
      </c>
      <c r="AL27" s="198">
        <v>0.71050000000000002</v>
      </c>
      <c r="AM27" s="198">
        <v>0.69869999999999999</v>
      </c>
      <c r="AO27" s="227" t="s">
        <v>605</v>
      </c>
      <c r="AP27" s="198">
        <v>0.76559999999999995</v>
      </c>
      <c r="AQ27" s="198">
        <v>0.71430000000000005</v>
      </c>
      <c r="AS27" s="227" t="s">
        <v>605</v>
      </c>
      <c r="AT27" s="198">
        <v>0.93959999999999999</v>
      </c>
      <c r="AU27" s="198">
        <v>0.87170000000000003</v>
      </c>
      <c r="AW27" s="227" t="s">
        <v>605</v>
      </c>
      <c r="AX27" s="198">
        <v>0.93279999999999996</v>
      </c>
      <c r="AY27" s="198">
        <v>0.92820000000000003</v>
      </c>
    </row>
    <row r="28" spans="1:51" x14ac:dyDescent="0.3">
      <c r="A28" s="227" t="s">
        <v>583</v>
      </c>
      <c r="B28" s="198">
        <v>2.3E-3</v>
      </c>
      <c r="C28" s="198">
        <v>3.9600000000000003E-2</v>
      </c>
      <c r="D28" s="34"/>
      <c r="E28" s="236" t="s">
        <v>583</v>
      </c>
      <c r="F28" s="237" t="s">
        <v>63</v>
      </c>
      <c r="G28" s="237" t="s">
        <v>63</v>
      </c>
      <c r="H28" s="34"/>
      <c r="I28" s="227" t="s">
        <v>583</v>
      </c>
      <c r="J28" s="198">
        <v>9.1499999999999998E-2</v>
      </c>
      <c r="K28" s="198">
        <v>5.0000000000000001E-4</v>
      </c>
      <c r="M28" s="227" t="s">
        <v>583</v>
      </c>
      <c r="N28" s="198">
        <v>8.9999999999999998E-4</v>
      </c>
      <c r="O28" s="198">
        <v>5.7000000000000002E-3</v>
      </c>
      <c r="Q28" s="227" t="s">
        <v>583</v>
      </c>
      <c r="R28" s="198" t="s">
        <v>63</v>
      </c>
      <c r="S28" s="198" t="s">
        <v>63</v>
      </c>
      <c r="U28" s="227" t="s">
        <v>583</v>
      </c>
      <c r="V28" s="198">
        <v>3.8999999999999998E-3</v>
      </c>
      <c r="W28" s="198">
        <v>2.6800000000000001E-2</v>
      </c>
      <c r="Y28" s="227" t="s">
        <v>583</v>
      </c>
      <c r="Z28" s="198">
        <v>1.5E-3</v>
      </c>
      <c r="AA28" s="198">
        <v>6.4799999999999996E-2</v>
      </c>
      <c r="AC28" s="227" t="s">
        <v>583</v>
      </c>
      <c r="AD28" s="198">
        <v>2.5399999999999999E-2</v>
      </c>
      <c r="AE28" s="198">
        <v>4.3700000000000003E-2</v>
      </c>
      <c r="AG28" s="227" t="s">
        <v>583</v>
      </c>
      <c r="AH28" s="198">
        <v>0.1336</v>
      </c>
      <c r="AI28" s="198">
        <v>3.4299999999999997E-2</v>
      </c>
      <c r="AK28" s="227" t="s">
        <v>583</v>
      </c>
      <c r="AL28" s="198" t="s">
        <v>63</v>
      </c>
      <c r="AM28" s="198" t="s">
        <v>63</v>
      </c>
      <c r="AO28" s="227" t="s">
        <v>583</v>
      </c>
      <c r="AP28" s="198" t="s">
        <v>63</v>
      </c>
      <c r="AQ28" s="198" t="s">
        <v>63</v>
      </c>
      <c r="AS28" s="227" t="s">
        <v>583</v>
      </c>
      <c r="AT28" s="198">
        <v>3.04E-2</v>
      </c>
      <c r="AU28" s="198">
        <v>5.0000000000000001E-4</v>
      </c>
      <c r="AW28" s="227" t="s">
        <v>583</v>
      </c>
      <c r="AX28" s="198">
        <v>7.1000000000000004E-3</v>
      </c>
      <c r="AY28" s="198">
        <v>4.3E-3</v>
      </c>
    </row>
    <row r="29" spans="1:51" x14ac:dyDescent="0.3">
      <c r="A29" s="227" t="s">
        <v>606</v>
      </c>
      <c r="B29" s="198" t="s">
        <v>25</v>
      </c>
      <c r="C29" s="198" t="s">
        <v>25</v>
      </c>
      <c r="D29" s="34"/>
      <c r="E29" s="236" t="s">
        <v>606</v>
      </c>
      <c r="F29" s="237" t="s">
        <v>25</v>
      </c>
      <c r="G29" s="237" t="s">
        <v>25</v>
      </c>
      <c r="H29" s="34"/>
      <c r="I29" s="227" t="s">
        <v>606</v>
      </c>
      <c r="J29" s="198" t="s">
        <v>71</v>
      </c>
      <c r="K29" s="198" t="s">
        <v>25</v>
      </c>
      <c r="M29" s="227" t="s">
        <v>606</v>
      </c>
      <c r="N29" s="198" t="s">
        <v>25</v>
      </c>
      <c r="O29" s="198" t="s">
        <v>25</v>
      </c>
      <c r="Q29" s="227" t="s">
        <v>606</v>
      </c>
      <c r="R29" s="198" t="s">
        <v>25</v>
      </c>
      <c r="S29" s="198" t="s">
        <v>25</v>
      </c>
      <c r="U29" s="227" t="s">
        <v>606</v>
      </c>
      <c r="V29" s="198" t="s">
        <v>25</v>
      </c>
      <c r="W29" s="198" t="s">
        <v>25</v>
      </c>
      <c r="Y29" s="227" t="s">
        <v>606</v>
      </c>
      <c r="Z29" s="198" t="s">
        <v>25</v>
      </c>
      <c r="AA29" s="198" t="s">
        <v>71</v>
      </c>
      <c r="AC29" s="227" t="s">
        <v>606</v>
      </c>
      <c r="AD29" s="198" t="s">
        <v>25</v>
      </c>
      <c r="AE29" s="198" t="s">
        <v>25</v>
      </c>
      <c r="AG29" s="227" t="s">
        <v>606</v>
      </c>
      <c r="AH29" s="198" t="s">
        <v>71</v>
      </c>
      <c r="AI29" s="198" t="s">
        <v>25</v>
      </c>
      <c r="AK29" s="227" t="s">
        <v>606</v>
      </c>
      <c r="AL29" s="198" t="s">
        <v>25</v>
      </c>
      <c r="AM29" s="198" t="s">
        <v>25</v>
      </c>
      <c r="AO29" s="227" t="s">
        <v>606</v>
      </c>
      <c r="AP29" s="198" t="s">
        <v>25</v>
      </c>
      <c r="AQ29" s="198" t="s">
        <v>25</v>
      </c>
      <c r="AS29" s="227" t="s">
        <v>606</v>
      </c>
      <c r="AT29" s="198" t="s">
        <v>25</v>
      </c>
      <c r="AU29" s="198" t="s">
        <v>25</v>
      </c>
      <c r="AW29" s="227" t="s">
        <v>606</v>
      </c>
      <c r="AX29" s="198" t="s">
        <v>25</v>
      </c>
      <c r="AY29" s="198" t="s">
        <v>25</v>
      </c>
    </row>
    <row r="30" spans="1:51" x14ac:dyDescent="0.3">
      <c r="A30" s="227" t="s">
        <v>585</v>
      </c>
      <c r="B30" s="198" t="s">
        <v>74</v>
      </c>
      <c r="C30" s="198" t="s">
        <v>69</v>
      </c>
      <c r="D30" s="34"/>
      <c r="E30" s="236" t="s">
        <v>585</v>
      </c>
      <c r="F30" s="237" t="s">
        <v>65</v>
      </c>
      <c r="G30" s="237" t="s">
        <v>65</v>
      </c>
      <c r="H30" s="34"/>
      <c r="I30" s="227" t="s">
        <v>585</v>
      </c>
      <c r="J30" s="198" t="s">
        <v>70</v>
      </c>
      <c r="K30" s="198" t="s">
        <v>64</v>
      </c>
      <c r="M30" s="227" t="s">
        <v>585</v>
      </c>
      <c r="N30" s="198" t="s">
        <v>64</v>
      </c>
      <c r="O30" s="198" t="s">
        <v>74</v>
      </c>
      <c r="Q30" s="227" t="s">
        <v>585</v>
      </c>
      <c r="R30" s="198" t="s">
        <v>65</v>
      </c>
      <c r="S30" s="198" t="s">
        <v>65</v>
      </c>
      <c r="U30" s="227" t="s">
        <v>585</v>
      </c>
      <c r="V30" s="198" t="s">
        <v>74</v>
      </c>
      <c r="W30" s="198" t="s">
        <v>69</v>
      </c>
      <c r="Y30" s="227" t="s">
        <v>585</v>
      </c>
      <c r="Z30" s="198" t="s">
        <v>74</v>
      </c>
      <c r="AA30" s="198" t="s">
        <v>70</v>
      </c>
      <c r="AC30" s="227" t="s">
        <v>585</v>
      </c>
      <c r="AD30" s="198" t="s">
        <v>69</v>
      </c>
      <c r="AE30" s="198" t="s">
        <v>69</v>
      </c>
      <c r="AG30" s="227" t="s">
        <v>585</v>
      </c>
      <c r="AH30" s="198" t="s">
        <v>70</v>
      </c>
      <c r="AI30" s="198" t="s">
        <v>69</v>
      </c>
      <c r="AK30" s="227" t="s">
        <v>585</v>
      </c>
      <c r="AL30" s="198" t="s">
        <v>65</v>
      </c>
      <c r="AM30" s="198" t="s">
        <v>65</v>
      </c>
      <c r="AO30" s="227" t="s">
        <v>585</v>
      </c>
      <c r="AP30" s="198" t="s">
        <v>65</v>
      </c>
      <c r="AQ30" s="198" t="s">
        <v>65</v>
      </c>
      <c r="AS30" s="227" t="s">
        <v>585</v>
      </c>
      <c r="AT30" s="198" t="s">
        <v>69</v>
      </c>
      <c r="AU30" s="198" t="s">
        <v>64</v>
      </c>
      <c r="AW30" s="227" t="s">
        <v>585</v>
      </c>
      <c r="AX30" s="198" t="s">
        <v>74</v>
      </c>
      <c r="AY30" s="198" t="s">
        <v>74</v>
      </c>
    </row>
    <row r="31" spans="1:51" x14ac:dyDescent="0.3">
      <c r="A31" s="227"/>
      <c r="B31" s="198"/>
      <c r="C31" s="198"/>
      <c r="D31" s="34"/>
      <c r="E31" s="236"/>
      <c r="F31" s="237"/>
      <c r="G31" s="237"/>
      <c r="H31" s="34"/>
      <c r="I31" s="227"/>
      <c r="J31" s="198"/>
      <c r="K31" s="198"/>
      <c r="M31" s="227"/>
      <c r="N31" s="198"/>
      <c r="O31" s="198"/>
      <c r="Q31" s="227"/>
      <c r="R31" s="198"/>
      <c r="S31" s="198"/>
      <c r="U31" s="227"/>
      <c r="V31" s="198"/>
      <c r="W31" s="198"/>
      <c r="Y31" s="227"/>
      <c r="Z31" s="198"/>
      <c r="AA31" s="198"/>
      <c r="AC31" s="227"/>
      <c r="AD31" s="198"/>
      <c r="AE31" s="198"/>
      <c r="AG31" s="227"/>
      <c r="AH31" s="198"/>
      <c r="AI31" s="198"/>
      <c r="AK31" s="227"/>
      <c r="AL31" s="198"/>
      <c r="AM31" s="198"/>
      <c r="AO31" s="227"/>
      <c r="AP31" s="198"/>
      <c r="AQ31" s="198"/>
      <c r="AS31" s="227"/>
      <c r="AT31" s="198"/>
      <c r="AU31" s="198"/>
      <c r="AW31" s="227"/>
      <c r="AX31" s="198"/>
      <c r="AY31" s="198"/>
    </row>
    <row r="32" spans="1:51" x14ac:dyDescent="0.3">
      <c r="A32" s="227" t="s">
        <v>607</v>
      </c>
      <c r="B32" s="198">
        <v>49</v>
      </c>
      <c r="C32" s="198">
        <v>51</v>
      </c>
      <c r="D32" s="34"/>
      <c r="E32" s="236" t="s">
        <v>607</v>
      </c>
      <c r="F32" s="237">
        <v>39</v>
      </c>
      <c r="G32" s="237">
        <v>37</v>
      </c>
      <c r="H32" s="34"/>
      <c r="I32" s="227" t="s">
        <v>607</v>
      </c>
      <c r="J32" s="198">
        <v>43</v>
      </c>
      <c r="K32" s="198">
        <v>39</v>
      </c>
      <c r="M32" s="227" t="s">
        <v>607</v>
      </c>
      <c r="N32" s="198">
        <v>45</v>
      </c>
      <c r="O32" s="198">
        <v>40</v>
      </c>
      <c r="Q32" s="227" t="s">
        <v>607</v>
      </c>
      <c r="R32" s="198">
        <v>50</v>
      </c>
      <c r="S32" s="198">
        <v>50</v>
      </c>
      <c r="U32" s="227" t="s">
        <v>607</v>
      </c>
      <c r="V32" s="198">
        <v>49</v>
      </c>
      <c r="W32" s="198">
        <v>51</v>
      </c>
      <c r="Y32" s="227" t="s">
        <v>607</v>
      </c>
      <c r="Z32" s="198">
        <v>50</v>
      </c>
      <c r="AA32" s="198">
        <v>51</v>
      </c>
      <c r="AC32" s="227" t="s">
        <v>607</v>
      </c>
      <c r="AD32" s="198">
        <v>22</v>
      </c>
      <c r="AE32" s="198">
        <v>21</v>
      </c>
      <c r="AG32" s="227" t="s">
        <v>607</v>
      </c>
      <c r="AH32" s="198">
        <v>27</v>
      </c>
      <c r="AI32" s="198">
        <v>27</v>
      </c>
      <c r="AK32" s="227" t="s">
        <v>607</v>
      </c>
      <c r="AL32" s="198">
        <v>27</v>
      </c>
      <c r="AM32" s="198">
        <v>31</v>
      </c>
      <c r="AO32" s="227" t="s">
        <v>607</v>
      </c>
      <c r="AP32" s="198">
        <v>27</v>
      </c>
      <c r="AQ32" s="198">
        <v>30</v>
      </c>
      <c r="AS32" s="227" t="s">
        <v>607</v>
      </c>
      <c r="AT32" s="198">
        <v>41</v>
      </c>
      <c r="AU32" s="198">
        <v>37</v>
      </c>
      <c r="AW32" s="227" t="s">
        <v>607</v>
      </c>
      <c r="AX32" s="198">
        <v>50</v>
      </c>
      <c r="AY32" s="198">
        <v>51</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rism10.Document" shapeId="31751" r:id="rId4">
          <objectPr defaultSize="0" r:id="rId5">
            <anchor moveWithCells="1">
              <from>
                <xdr:col>0</xdr:col>
                <xdr:colOff>0</xdr:colOff>
                <xdr:row>33</xdr:row>
                <xdr:rowOff>0</xdr:rowOff>
              </from>
              <to>
                <xdr:col>3</xdr:col>
                <xdr:colOff>0</xdr:colOff>
                <xdr:row>49</xdr:row>
                <xdr:rowOff>133350</xdr:rowOff>
              </to>
            </anchor>
          </objectPr>
        </oleObject>
      </mc:Choice>
      <mc:Fallback>
        <oleObject progId="Prism10.Document" shapeId="31751" r:id="rId4"/>
      </mc:Fallback>
    </mc:AlternateContent>
    <mc:AlternateContent xmlns:mc="http://schemas.openxmlformats.org/markup-compatibility/2006">
      <mc:Choice Requires="x14">
        <oleObject progId="Prism10.Document" shapeId="31753" r:id="rId6">
          <objectPr defaultSize="0" r:id="rId7">
            <anchor moveWithCells="1">
              <from>
                <xdr:col>7</xdr:col>
                <xdr:colOff>755650</xdr:colOff>
                <xdr:row>33</xdr:row>
                <xdr:rowOff>6350</xdr:rowOff>
              </from>
              <to>
                <xdr:col>10</xdr:col>
                <xdr:colOff>755650</xdr:colOff>
                <xdr:row>49</xdr:row>
                <xdr:rowOff>146050</xdr:rowOff>
              </to>
            </anchor>
          </objectPr>
        </oleObject>
      </mc:Choice>
      <mc:Fallback>
        <oleObject progId="Prism10.Document" shapeId="31753" r:id="rId6"/>
      </mc:Fallback>
    </mc:AlternateContent>
    <mc:AlternateContent xmlns:mc="http://schemas.openxmlformats.org/markup-compatibility/2006">
      <mc:Choice Requires="x14">
        <oleObject progId="Prism10.Document" shapeId="31754" r:id="rId8">
          <objectPr defaultSize="0" r:id="rId9">
            <anchor moveWithCells="1">
              <from>
                <xdr:col>11</xdr:col>
                <xdr:colOff>749300</xdr:colOff>
                <xdr:row>33</xdr:row>
                <xdr:rowOff>25400</xdr:rowOff>
              </from>
              <to>
                <xdr:col>15</xdr:col>
                <xdr:colOff>95250</xdr:colOff>
                <xdr:row>49</xdr:row>
                <xdr:rowOff>158750</xdr:rowOff>
              </to>
            </anchor>
          </objectPr>
        </oleObject>
      </mc:Choice>
      <mc:Fallback>
        <oleObject progId="Prism10.Document" shapeId="31754" r:id="rId8"/>
      </mc:Fallback>
    </mc:AlternateContent>
    <mc:AlternateContent xmlns:mc="http://schemas.openxmlformats.org/markup-compatibility/2006">
      <mc:Choice Requires="x14">
        <oleObject progId="Prism10.Document" shapeId="31755" r:id="rId10">
          <objectPr defaultSize="0" r:id="rId11">
            <anchor moveWithCells="1">
              <from>
                <xdr:col>15</xdr:col>
                <xdr:colOff>704850</xdr:colOff>
                <xdr:row>33</xdr:row>
                <xdr:rowOff>0</xdr:rowOff>
              </from>
              <to>
                <xdr:col>18</xdr:col>
                <xdr:colOff>685800</xdr:colOff>
                <xdr:row>49</xdr:row>
                <xdr:rowOff>133350</xdr:rowOff>
              </to>
            </anchor>
          </objectPr>
        </oleObject>
      </mc:Choice>
      <mc:Fallback>
        <oleObject progId="Prism10.Document" shapeId="31755" r:id="rId10"/>
      </mc:Fallback>
    </mc:AlternateContent>
    <mc:AlternateContent xmlns:mc="http://schemas.openxmlformats.org/markup-compatibility/2006">
      <mc:Choice Requires="x14">
        <oleObject progId="Prism10.Document" shapeId="31757" r:id="rId12">
          <objectPr defaultSize="0" r:id="rId13">
            <anchor moveWithCells="1">
              <from>
                <xdr:col>23</xdr:col>
                <xdr:colOff>666750</xdr:colOff>
                <xdr:row>33</xdr:row>
                <xdr:rowOff>0</xdr:rowOff>
              </from>
              <to>
                <xdr:col>27</xdr:col>
                <xdr:colOff>196850</xdr:colOff>
                <xdr:row>49</xdr:row>
                <xdr:rowOff>133350</xdr:rowOff>
              </to>
            </anchor>
          </objectPr>
        </oleObject>
      </mc:Choice>
      <mc:Fallback>
        <oleObject progId="Prism10.Document" shapeId="31757" r:id="rId12"/>
      </mc:Fallback>
    </mc:AlternateContent>
    <mc:AlternateContent xmlns:mc="http://schemas.openxmlformats.org/markup-compatibility/2006">
      <mc:Choice Requires="x14">
        <oleObject progId="Prism10.Document" shapeId="31760" r:id="rId14">
          <objectPr defaultSize="0" autoPict="0" r:id="rId15">
            <anchor moveWithCells="1">
              <from>
                <xdr:col>44</xdr:col>
                <xdr:colOff>25400</xdr:colOff>
                <xdr:row>32</xdr:row>
                <xdr:rowOff>133350</xdr:rowOff>
              </from>
              <to>
                <xdr:col>46</xdr:col>
                <xdr:colOff>736600</xdr:colOff>
                <xdr:row>49</xdr:row>
                <xdr:rowOff>95250</xdr:rowOff>
              </to>
            </anchor>
          </objectPr>
        </oleObject>
      </mc:Choice>
      <mc:Fallback>
        <oleObject progId="Prism10.Document" shapeId="31760" r:id="rId14"/>
      </mc:Fallback>
    </mc:AlternateContent>
    <mc:AlternateContent xmlns:mc="http://schemas.openxmlformats.org/markup-compatibility/2006">
      <mc:Choice Requires="x14">
        <oleObject progId="Prism10.Document" shapeId="31761" r:id="rId16">
          <objectPr defaultSize="0" r:id="rId17">
            <anchor moveWithCells="1">
              <from>
                <xdr:col>48</xdr:col>
                <xdr:colOff>0</xdr:colOff>
                <xdr:row>33</xdr:row>
                <xdr:rowOff>0</xdr:rowOff>
              </from>
              <to>
                <xdr:col>50</xdr:col>
                <xdr:colOff>565150</xdr:colOff>
                <xdr:row>49</xdr:row>
                <xdr:rowOff>133350</xdr:rowOff>
              </to>
            </anchor>
          </objectPr>
        </oleObject>
      </mc:Choice>
      <mc:Fallback>
        <oleObject progId="Prism10.Document" shapeId="31761" r:id="rId16"/>
      </mc:Fallback>
    </mc:AlternateContent>
    <mc:AlternateContent xmlns:mc="http://schemas.openxmlformats.org/markup-compatibility/2006">
      <mc:Choice Requires="x14">
        <oleObject progId="Prism10.Document" shapeId="31762" r:id="rId18">
          <objectPr defaultSize="0" r:id="rId19">
            <anchor moveWithCells="1">
              <from>
                <xdr:col>3</xdr:col>
                <xdr:colOff>800100</xdr:colOff>
                <xdr:row>32</xdr:row>
                <xdr:rowOff>158750</xdr:rowOff>
              </from>
              <to>
                <xdr:col>7</xdr:col>
                <xdr:colOff>50800</xdr:colOff>
                <xdr:row>49</xdr:row>
                <xdr:rowOff>120650</xdr:rowOff>
              </to>
            </anchor>
          </objectPr>
        </oleObject>
      </mc:Choice>
      <mc:Fallback>
        <oleObject progId="Prism10.Document" shapeId="31762" r:id="rId18"/>
      </mc:Fallback>
    </mc:AlternateContent>
    <mc:AlternateContent xmlns:mc="http://schemas.openxmlformats.org/markup-compatibility/2006">
      <mc:Choice Requires="x14">
        <oleObject progId="Prism10.Document" shapeId="31763" r:id="rId20">
          <objectPr defaultSize="0" r:id="rId21">
            <anchor moveWithCells="1">
              <from>
                <xdr:col>20</xdr:col>
                <xdr:colOff>0</xdr:colOff>
                <xdr:row>33</xdr:row>
                <xdr:rowOff>0</xdr:rowOff>
              </from>
              <to>
                <xdr:col>22</xdr:col>
                <xdr:colOff>755650</xdr:colOff>
                <xdr:row>49</xdr:row>
                <xdr:rowOff>139700</xdr:rowOff>
              </to>
            </anchor>
          </objectPr>
        </oleObject>
      </mc:Choice>
      <mc:Fallback>
        <oleObject progId="Prism10.Document" shapeId="31763" r:id="rId20"/>
      </mc:Fallback>
    </mc:AlternateContent>
    <mc:AlternateContent xmlns:mc="http://schemas.openxmlformats.org/markup-compatibility/2006">
      <mc:Choice Requires="x14">
        <oleObject progId="Prism10.Document" shapeId="31764" r:id="rId22">
          <objectPr defaultSize="0" r:id="rId23">
            <anchor moveWithCells="1">
              <from>
                <xdr:col>28</xdr:col>
                <xdr:colOff>88900</xdr:colOff>
                <xdr:row>33</xdr:row>
                <xdr:rowOff>0</xdr:rowOff>
              </from>
              <to>
                <xdr:col>31</xdr:col>
                <xdr:colOff>177800</xdr:colOff>
                <xdr:row>49</xdr:row>
                <xdr:rowOff>133350</xdr:rowOff>
              </to>
            </anchor>
          </objectPr>
        </oleObject>
      </mc:Choice>
      <mc:Fallback>
        <oleObject progId="Prism10.Document" shapeId="31764" r:id="rId22"/>
      </mc:Fallback>
    </mc:AlternateContent>
    <mc:AlternateContent xmlns:mc="http://schemas.openxmlformats.org/markup-compatibility/2006">
      <mc:Choice Requires="x14">
        <oleObject progId="Prism10.Document" shapeId="31765" r:id="rId24">
          <objectPr defaultSize="0" r:id="rId25">
            <anchor moveWithCells="1">
              <from>
                <xdr:col>32</xdr:col>
                <xdr:colOff>0</xdr:colOff>
                <xdr:row>33</xdr:row>
                <xdr:rowOff>0</xdr:rowOff>
              </from>
              <to>
                <xdr:col>35</xdr:col>
                <xdr:colOff>247650</xdr:colOff>
                <xdr:row>49</xdr:row>
                <xdr:rowOff>133350</xdr:rowOff>
              </to>
            </anchor>
          </objectPr>
        </oleObject>
      </mc:Choice>
      <mc:Fallback>
        <oleObject progId="Prism10.Document" shapeId="31765" r:id="rId24"/>
      </mc:Fallback>
    </mc:AlternateContent>
    <mc:AlternateContent xmlns:mc="http://schemas.openxmlformats.org/markup-compatibility/2006">
      <mc:Choice Requires="x14">
        <oleObject progId="Prism10.Document" shapeId="31766" r:id="rId26">
          <objectPr defaultSize="0" r:id="rId27">
            <anchor moveWithCells="1">
              <from>
                <xdr:col>36</xdr:col>
                <xdr:colOff>0</xdr:colOff>
                <xdr:row>33</xdr:row>
                <xdr:rowOff>0</xdr:rowOff>
              </from>
              <to>
                <xdr:col>39</xdr:col>
                <xdr:colOff>38100</xdr:colOff>
                <xdr:row>49</xdr:row>
                <xdr:rowOff>133350</xdr:rowOff>
              </to>
            </anchor>
          </objectPr>
        </oleObject>
      </mc:Choice>
      <mc:Fallback>
        <oleObject progId="Prism10.Document" shapeId="31766" r:id="rId26"/>
      </mc:Fallback>
    </mc:AlternateContent>
    <mc:AlternateContent xmlns:mc="http://schemas.openxmlformats.org/markup-compatibility/2006">
      <mc:Choice Requires="x14">
        <oleObject progId="Prism10.Document" shapeId="31767" r:id="rId28">
          <objectPr defaultSize="0" r:id="rId29">
            <anchor moveWithCells="1">
              <from>
                <xdr:col>40</xdr:col>
                <xdr:colOff>0</xdr:colOff>
                <xdr:row>33</xdr:row>
                <xdr:rowOff>0</xdr:rowOff>
              </from>
              <to>
                <xdr:col>42</xdr:col>
                <xdr:colOff>647700</xdr:colOff>
                <xdr:row>49</xdr:row>
                <xdr:rowOff>133350</xdr:rowOff>
              </to>
            </anchor>
          </objectPr>
        </oleObject>
      </mc:Choice>
      <mc:Fallback>
        <oleObject progId="Prism10.Document" shapeId="31767" r:id="rId28"/>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2A295-5BD8-4E46-B7FE-731C26DB699E}">
  <dimension ref="A1:AX128"/>
  <sheetViews>
    <sheetView topLeftCell="AD1" zoomScale="70" zoomScaleNormal="70" workbookViewId="0">
      <selection activeCell="P5" sqref="P5:P6"/>
    </sheetView>
  </sheetViews>
  <sheetFormatPr defaultColWidth="9" defaultRowHeight="15.5" x14ac:dyDescent="0.35"/>
  <cols>
    <col min="1" max="1" width="9.1640625" style="53" customWidth="1"/>
    <col min="2" max="2" width="8.25" style="3" customWidth="1"/>
    <col min="3" max="3" width="18.9140625" style="53" customWidth="1"/>
    <col min="4" max="4" width="10.58203125" style="7" bestFit="1" customWidth="1"/>
    <col min="5" max="5" width="9.83203125" style="7" customWidth="1"/>
    <col min="6" max="7" width="11" style="6" customWidth="1"/>
    <col min="8" max="8" width="10.1640625" style="6" customWidth="1"/>
    <col min="9" max="12" width="11" style="6" customWidth="1"/>
    <col min="13" max="13" width="9.75" style="2" customWidth="1"/>
    <col min="14" max="14" width="7.4140625" style="185" customWidth="1"/>
    <col min="15" max="15" width="7.6640625" style="3" customWidth="1"/>
    <col min="16" max="16" width="18.9140625" style="192" customWidth="1"/>
    <col min="17" max="17" width="12.6640625" style="3" customWidth="1"/>
    <col min="18" max="19" width="12.5" style="3" customWidth="1"/>
    <col min="20" max="20" width="11.08203125" style="1" customWidth="1"/>
    <col min="21" max="25" width="11.08203125" style="3" customWidth="1"/>
    <col min="26" max="27" width="8" style="1" customWidth="1"/>
    <col min="28" max="29" width="8" style="68"/>
    <col min="30" max="30" width="8" style="59"/>
    <col min="31" max="31" width="9.75" style="59" customWidth="1"/>
    <col min="32" max="32" width="8" style="68"/>
    <col min="33" max="33" width="7.6640625" style="68" customWidth="1"/>
    <col min="34" max="34" width="8" style="61"/>
    <col min="35" max="35" width="12.6640625" style="61" customWidth="1"/>
    <col min="36" max="37" width="8" style="68"/>
    <col min="38" max="38" width="8" style="61"/>
    <col min="39" max="39" width="13.4140625" style="61" customWidth="1"/>
    <col min="40" max="41" width="9" style="1"/>
    <col min="42" max="42" width="6.1640625" style="1" customWidth="1"/>
    <col min="43" max="43" width="9" style="1"/>
    <col min="44" max="44" width="19.5" style="1" customWidth="1"/>
    <col min="45" max="45" width="14.33203125" style="1" customWidth="1"/>
    <col min="46" max="46" width="9" style="1"/>
    <col min="47" max="47" width="6.5" style="7" customWidth="1"/>
    <col min="48" max="48" width="8" style="3" customWidth="1"/>
    <col min="49" max="49" width="22" style="1" bestFit="1" customWidth="1"/>
    <col min="50" max="50" width="14.1640625" style="7" customWidth="1"/>
    <col min="51" max="16384" width="9" style="1"/>
  </cols>
  <sheetData>
    <row r="1" spans="1:50" s="5" customFormat="1" ht="23" customHeight="1" x14ac:dyDescent="0.4">
      <c r="A1" s="221" t="s">
        <v>626</v>
      </c>
      <c r="B1" s="23"/>
      <c r="C1" s="70"/>
      <c r="D1" s="24"/>
      <c r="E1" s="24"/>
      <c r="N1" s="186"/>
      <c r="O1" s="23"/>
      <c r="P1" s="189"/>
      <c r="Q1" s="23"/>
      <c r="R1" s="23"/>
      <c r="S1" s="23"/>
      <c r="U1" s="23"/>
      <c r="V1" s="23"/>
      <c r="W1" s="23"/>
      <c r="X1" s="23"/>
      <c r="Y1" s="23"/>
      <c r="AB1" s="177"/>
      <c r="AU1" s="24"/>
      <c r="AV1" s="23"/>
      <c r="AX1" s="24"/>
    </row>
    <row r="2" spans="1:50" x14ac:dyDescent="0.3">
      <c r="A2" s="513" t="s">
        <v>185</v>
      </c>
      <c r="B2" s="514"/>
      <c r="C2" s="514"/>
      <c r="D2" s="514"/>
      <c r="E2" s="514"/>
      <c r="F2" s="514"/>
      <c r="G2" s="514"/>
      <c r="H2" s="514"/>
      <c r="I2" s="514"/>
      <c r="J2" s="514"/>
      <c r="K2" s="514"/>
      <c r="L2" s="514"/>
      <c r="M2" s="514"/>
      <c r="N2" s="514"/>
      <c r="O2" s="514"/>
      <c r="P2" s="514"/>
      <c r="Q2" s="514"/>
      <c r="R2" s="514"/>
      <c r="S2" s="514"/>
      <c r="T2" s="514"/>
      <c r="U2" s="514"/>
      <c r="V2" s="514"/>
      <c r="W2" s="514"/>
      <c r="X2" s="514"/>
      <c r="Y2" s="515"/>
      <c r="Z2" s="21"/>
      <c r="AA2" s="21"/>
      <c r="AC2" s="510" t="s">
        <v>464</v>
      </c>
      <c r="AD2" s="511"/>
      <c r="AE2" s="511"/>
      <c r="AF2" s="511"/>
      <c r="AG2" s="511"/>
      <c r="AH2" s="511"/>
      <c r="AI2" s="511"/>
      <c r="AJ2" s="511"/>
      <c r="AK2" s="511"/>
      <c r="AL2" s="511"/>
      <c r="AM2" s="512"/>
      <c r="AP2" s="544" t="s">
        <v>463</v>
      </c>
      <c r="AQ2" s="544"/>
      <c r="AR2" s="544"/>
      <c r="AS2" s="544"/>
      <c r="AT2" s="544"/>
      <c r="AU2" s="544"/>
      <c r="AV2" s="544"/>
      <c r="AW2" s="544"/>
      <c r="AX2" s="544"/>
    </row>
    <row r="3" spans="1:50" ht="33" customHeight="1" x14ac:dyDescent="0.3">
      <c r="A3" s="522" t="s">
        <v>9</v>
      </c>
      <c r="B3" s="524" t="s">
        <v>50</v>
      </c>
      <c r="C3" s="524" t="s">
        <v>581</v>
      </c>
      <c r="D3" s="522" t="s">
        <v>183</v>
      </c>
      <c r="E3" s="522"/>
      <c r="F3" s="523" t="s">
        <v>186</v>
      </c>
      <c r="G3" s="46" t="s">
        <v>180</v>
      </c>
      <c r="H3" s="526" t="s">
        <v>181</v>
      </c>
      <c r="I3" s="527"/>
      <c r="J3" s="523" t="s">
        <v>184</v>
      </c>
      <c r="K3" s="523"/>
      <c r="L3" s="523"/>
      <c r="M3" s="48"/>
      <c r="N3" s="522" t="s">
        <v>9</v>
      </c>
      <c r="O3" s="524" t="s">
        <v>50</v>
      </c>
      <c r="P3" s="591" t="s">
        <v>454</v>
      </c>
      <c r="Q3" s="522" t="s">
        <v>183</v>
      </c>
      <c r="R3" s="522"/>
      <c r="S3" s="523" t="s">
        <v>186</v>
      </c>
      <c r="T3" s="46" t="s">
        <v>180</v>
      </c>
      <c r="U3" s="522" t="s">
        <v>181</v>
      </c>
      <c r="V3" s="522"/>
      <c r="W3" s="523" t="s">
        <v>184</v>
      </c>
      <c r="X3" s="523"/>
      <c r="Y3" s="523"/>
      <c r="Z3" s="39"/>
      <c r="AA3" s="39"/>
      <c r="AC3" s="179" t="s">
        <v>445</v>
      </c>
      <c r="AD3" s="179" t="s">
        <v>443</v>
      </c>
      <c r="AE3" s="179" t="s">
        <v>444</v>
      </c>
      <c r="AF3" s="178"/>
      <c r="AG3" s="180" t="s">
        <v>445</v>
      </c>
      <c r="AH3" s="179" t="s">
        <v>443</v>
      </c>
      <c r="AI3" s="181" t="s">
        <v>446</v>
      </c>
      <c r="AJ3" s="178"/>
      <c r="AK3" s="182" t="s">
        <v>445</v>
      </c>
      <c r="AL3" s="179" t="s">
        <v>443</v>
      </c>
      <c r="AM3" s="181" t="s">
        <v>447</v>
      </c>
      <c r="AP3" s="531" t="s">
        <v>9</v>
      </c>
      <c r="AQ3" s="529" t="s">
        <v>50</v>
      </c>
      <c r="AR3" s="529" t="s">
        <v>76</v>
      </c>
      <c r="AS3" s="545" t="s">
        <v>459</v>
      </c>
      <c r="AU3" s="531" t="s">
        <v>9</v>
      </c>
      <c r="AV3" s="528" t="s">
        <v>50</v>
      </c>
      <c r="AW3" s="530" t="s">
        <v>42</v>
      </c>
      <c r="AX3" s="547" t="s">
        <v>459</v>
      </c>
    </row>
    <row r="4" spans="1:50" x14ac:dyDescent="0.3">
      <c r="A4" s="522"/>
      <c r="B4" s="525"/>
      <c r="C4" s="525"/>
      <c r="D4" s="46" t="s">
        <v>3</v>
      </c>
      <c r="E4" s="46" t="s">
        <v>4</v>
      </c>
      <c r="F4" s="523"/>
      <c r="G4" s="46" t="s">
        <v>182</v>
      </c>
      <c r="H4" s="46" t="s">
        <v>3</v>
      </c>
      <c r="I4" s="46" t="s">
        <v>4</v>
      </c>
      <c r="J4" s="51" t="s">
        <v>14</v>
      </c>
      <c r="K4" s="49" t="s">
        <v>6</v>
      </c>
      <c r="L4" s="49" t="s">
        <v>5</v>
      </c>
      <c r="M4" s="48"/>
      <c r="N4" s="522"/>
      <c r="O4" s="525"/>
      <c r="P4" s="591"/>
      <c r="Q4" s="46" t="s">
        <v>3</v>
      </c>
      <c r="R4" s="46" t="s">
        <v>4</v>
      </c>
      <c r="S4" s="523"/>
      <c r="T4" s="46" t="s">
        <v>182</v>
      </c>
      <c r="U4" s="46" t="s">
        <v>3</v>
      </c>
      <c r="V4" s="46" t="s">
        <v>4</v>
      </c>
      <c r="W4" s="51" t="s">
        <v>14</v>
      </c>
      <c r="X4" s="49" t="s">
        <v>6</v>
      </c>
      <c r="Y4" s="49" t="s">
        <v>5</v>
      </c>
      <c r="Z4" s="17"/>
      <c r="AA4" s="17"/>
      <c r="AC4" s="14" t="s">
        <v>2</v>
      </c>
      <c r="AD4" s="69">
        <v>247</v>
      </c>
      <c r="AE4" s="69">
        <v>31</v>
      </c>
      <c r="AG4" s="15" t="s">
        <v>2</v>
      </c>
      <c r="AH4" s="20">
        <v>247</v>
      </c>
      <c r="AI4" s="20">
        <v>31</v>
      </c>
      <c r="AK4" s="79" t="s">
        <v>2</v>
      </c>
      <c r="AL4" s="69">
        <v>247</v>
      </c>
      <c r="AM4" s="69"/>
      <c r="AP4" s="532"/>
      <c r="AQ4" s="533"/>
      <c r="AR4" s="533"/>
      <c r="AS4" s="546"/>
      <c r="AU4" s="532"/>
      <c r="AV4" s="529"/>
      <c r="AW4" s="530"/>
      <c r="AX4" s="547"/>
    </row>
    <row r="5" spans="1:50" x14ac:dyDescent="0.35">
      <c r="A5" s="44">
        <v>1</v>
      </c>
      <c r="B5" s="44" t="s">
        <v>94</v>
      </c>
      <c r="C5" s="54" t="s">
        <v>337</v>
      </c>
      <c r="D5" s="47" t="s">
        <v>95</v>
      </c>
      <c r="E5" s="44" t="s">
        <v>96</v>
      </c>
      <c r="F5" s="40">
        <f t="shared" ref="F5:F11" si="0">2^(E5-D5)</f>
        <v>247.27970020476096</v>
      </c>
      <c r="G5" s="44" t="s">
        <v>6</v>
      </c>
      <c r="H5" s="44">
        <v>30</v>
      </c>
      <c r="I5" s="44" t="s">
        <v>97</v>
      </c>
      <c r="J5" s="40">
        <f>2^(I5-H5)</f>
        <v>30.696451818408413</v>
      </c>
      <c r="K5" s="40">
        <v>30.696451818408413</v>
      </c>
      <c r="L5" s="40"/>
      <c r="M5" s="48"/>
      <c r="N5" s="516">
        <v>1</v>
      </c>
      <c r="O5" s="516" t="s">
        <v>187</v>
      </c>
      <c r="P5" s="519" t="s">
        <v>387</v>
      </c>
      <c r="Q5" s="516" t="s">
        <v>238</v>
      </c>
      <c r="R5" s="516" t="s">
        <v>239</v>
      </c>
      <c r="S5" s="536">
        <f>2^(R5-Q5)</f>
        <v>9741.9846861022888</v>
      </c>
      <c r="T5" s="44" t="s">
        <v>5</v>
      </c>
      <c r="U5" s="44">
        <v>26</v>
      </c>
      <c r="V5" s="44" t="s">
        <v>52</v>
      </c>
      <c r="W5" s="44">
        <f>2^(40-U5)</f>
        <v>16384</v>
      </c>
      <c r="X5" s="40">
        <v>1024</v>
      </c>
      <c r="Y5" s="44">
        <v>16384</v>
      </c>
      <c r="Z5" s="10"/>
      <c r="AA5" s="10"/>
      <c r="AC5" s="14" t="s">
        <v>2</v>
      </c>
      <c r="AD5" s="69">
        <v>1</v>
      </c>
      <c r="AE5" s="69">
        <v>21</v>
      </c>
      <c r="AG5" s="15" t="s">
        <v>2</v>
      </c>
      <c r="AH5" s="20">
        <v>1</v>
      </c>
      <c r="AI5" s="20">
        <v>21</v>
      </c>
      <c r="AK5" s="79" t="s">
        <v>2</v>
      </c>
      <c r="AL5" s="69">
        <v>1</v>
      </c>
      <c r="AM5" s="69"/>
      <c r="AP5" s="81">
        <v>1</v>
      </c>
      <c r="AQ5" s="197" t="s">
        <v>94</v>
      </c>
      <c r="AR5" s="198" t="s">
        <v>337</v>
      </c>
      <c r="AS5" s="199" t="s">
        <v>52</v>
      </c>
      <c r="AU5" s="81">
        <v>1</v>
      </c>
      <c r="AV5" s="99" t="s">
        <v>187</v>
      </c>
      <c r="AW5" s="14" t="s">
        <v>387</v>
      </c>
      <c r="AX5" s="195" t="s">
        <v>460</v>
      </c>
    </row>
    <row r="6" spans="1:50" x14ac:dyDescent="0.35">
      <c r="A6" s="44">
        <v>2</v>
      </c>
      <c r="B6" s="44" t="s">
        <v>98</v>
      </c>
      <c r="C6" s="54" t="s">
        <v>343</v>
      </c>
      <c r="D6" s="44" t="s">
        <v>99</v>
      </c>
      <c r="E6" s="44" t="s">
        <v>100</v>
      </c>
      <c r="F6" s="40">
        <f t="shared" si="0"/>
        <v>1.4948492486349365</v>
      </c>
      <c r="G6" s="44" t="s">
        <v>6</v>
      </c>
      <c r="H6" s="44">
        <v>27</v>
      </c>
      <c r="I6" s="44" t="s">
        <v>101</v>
      </c>
      <c r="J6" s="40">
        <f>2^(I6-H6)</f>
        <v>20.534814361006454</v>
      </c>
      <c r="K6" s="40">
        <v>20.534814361006454</v>
      </c>
      <c r="L6" s="40"/>
      <c r="M6" s="8"/>
      <c r="N6" s="518"/>
      <c r="O6" s="518"/>
      <c r="P6" s="521"/>
      <c r="Q6" s="518"/>
      <c r="R6" s="518"/>
      <c r="S6" s="537"/>
      <c r="T6" s="44" t="s">
        <v>6</v>
      </c>
      <c r="U6" s="44">
        <v>30</v>
      </c>
      <c r="V6" s="44" t="s">
        <v>52</v>
      </c>
      <c r="W6" s="44">
        <f>2^(40-U6)</f>
        <v>1024</v>
      </c>
      <c r="Y6" s="44"/>
      <c r="Z6" s="10"/>
      <c r="AA6" s="10"/>
      <c r="AC6" s="14" t="s">
        <v>2</v>
      </c>
      <c r="AD6" s="69">
        <v>13</v>
      </c>
      <c r="AE6" s="69">
        <v>32</v>
      </c>
      <c r="AG6" s="15" t="s">
        <v>2</v>
      </c>
      <c r="AH6" s="20">
        <v>13</v>
      </c>
      <c r="AI6" s="20">
        <v>32</v>
      </c>
      <c r="AK6" s="79" t="s">
        <v>2</v>
      </c>
      <c r="AL6" s="69">
        <v>13</v>
      </c>
      <c r="AM6" s="69"/>
      <c r="AP6" s="81">
        <v>2</v>
      </c>
      <c r="AQ6" s="69" t="s">
        <v>98</v>
      </c>
      <c r="AR6" s="14" t="s">
        <v>343</v>
      </c>
      <c r="AS6" s="199" t="s">
        <v>52</v>
      </c>
      <c r="AU6" s="81">
        <v>2</v>
      </c>
      <c r="AV6" s="101" t="s">
        <v>188</v>
      </c>
      <c r="AW6" s="14" t="s">
        <v>388</v>
      </c>
      <c r="AX6" s="195" t="s">
        <v>460</v>
      </c>
    </row>
    <row r="7" spans="1:50" x14ac:dyDescent="0.35">
      <c r="A7" s="44">
        <v>3</v>
      </c>
      <c r="B7" s="44" t="s">
        <v>102</v>
      </c>
      <c r="C7" s="71" t="s">
        <v>344</v>
      </c>
      <c r="D7" s="44" t="s">
        <v>103</v>
      </c>
      <c r="E7" s="44" t="s">
        <v>104</v>
      </c>
      <c r="F7" s="40">
        <f t="shared" si="0"/>
        <v>13.454342644059432</v>
      </c>
      <c r="G7" s="44" t="s">
        <v>6</v>
      </c>
      <c r="H7" s="44">
        <v>30</v>
      </c>
      <c r="I7" s="44">
        <v>35</v>
      </c>
      <c r="J7" s="40">
        <f>2^(I7-H7)</f>
        <v>32</v>
      </c>
      <c r="K7" s="40">
        <v>32</v>
      </c>
      <c r="L7" s="40"/>
      <c r="M7" s="48"/>
      <c r="N7" s="44">
        <v>2</v>
      </c>
      <c r="O7" s="44" t="s">
        <v>188</v>
      </c>
      <c r="P7" s="75" t="s">
        <v>388</v>
      </c>
      <c r="Q7" s="44" t="s">
        <v>240</v>
      </c>
      <c r="R7" s="44" t="s">
        <v>52</v>
      </c>
      <c r="S7" s="40">
        <f>2^(40-Q7)</f>
        <v>301124.38157234271</v>
      </c>
      <c r="T7" s="44" t="s">
        <v>6</v>
      </c>
      <c r="U7" s="44" t="s">
        <v>241</v>
      </c>
      <c r="V7" s="44" t="s">
        <v>242</v>
      </c>
      <c r="W7" s="44">
        <f>2^(V7-U7)</f>
        <v>580.0365492714501</v>
      </c>
      <c r="X7" s="40">
        <v>580.0365492714501</v>
      </c>
      <c r="Y7" s="44"/>
      <c r="Z7" s="10"/>
      <c r="AA7" s="10"/>
      <c r="AC7" s="14" t="s">
        <v>2</v>
      </c>
      <c r="AD7" s="69">
        <v>211</v>
      </c>
      <c r="AE7" s="69">
        <v>8192</v>
      </c>
      <c r="AG7" s="15" t="s">
        <v>2</v>
      </c>
      <c r="AH7" s="20">
        <v>211</v>
      </c>
      <c r="AI7" s="20">
        <v>8192</v>
      </c>
      <c r="AK7" s="79" t="s">
        <v>2</v>
      </c>
      <c r="AL7" s="69">
        <v>211</v>
      </c>
      <c r="AM7" s="69"/>
      <c r="AP7" s="81">
        <v>3</v>
      </c>
      <c r="AQ7" s="69" t="s">
        <v>102</v>
      </c>
      <c r="AR7" s="133" t="s">
        <v>344</v>
      </c>
      <c r="AS7" s="199" t="s">
        <v>52</v>
      </c>
      <c r="AU7" s="81">
        <v>3</v>
      </c>
      <c r="AV7" s="101" t="s">
        <v>189</v>
      </c>
      <c r="AW7" s="14" t="s">
        <v>389</v>
      </c>
      <c r="AX7" s="195" t="s">
        <v>460</v>
      </c>
    </row>
    <row r="8" spans="1:50" x14ac:dyDescent="0.35">
      <c r="A8" s="44">
        <v>4</v>
      </c>
      <c r="B8" s="44" t="s">
        <v>105</v>
      </c>
      <c r="C8" s="54" t="s">
        <v>338</v>
      </c>
      <c r="D8" s="44" t="s">
        <v>106</v>
      </c>
      <c r="E8" s="44" t="s">
        <v>107</v>
      </c>
      <c r="F8" s="40">
        <f t="shared" si="0"/>
        <v>210.8393004204986</v>
      </c>
      <c r="G8" s="44" t="s">
        <v>6</v>
      </c>
      <c r="H8" s="44">
        <v>27</v>
      </c>
      <c r="I8" s="44" t="s">
        <v>52</v>
      </c>
      <c r="J8" s="40">
        <f>2^(40-H8)</f>
        <v>8192</v>
      </c>
      <c r="K8" s="40">
        <v>8192</v>
      </c>
      <c r="L8" s="40"/>
      <c r="M8" s="48"/>
      <c r="N8" s="44">
        <v>3</v>
      </c>
      <c r="O8" s="44" t="s">
        <v>189</v>
      </c>
      <c r="P8" s="75" t="s">
        <v>389</v>
      </c>
      <c r="Q8" s="44" t="s">
        <v>243</v>
      </c>
      <c r="R8" s="44" t="s">
        <v>244</v>
      </c>
      <c r="S8" s="40">
        <f>2^(R8-Q8)</f>
        <v>1573.7601856389297</v>
      </c>
      <c r="T8" s="44" t="s">
        <v>5</v>
      </c>
      <c r="U8" s="44">
        <v>29</v>
      </c>
      <c r="V8" s="44" t="s">
        <v>245</v>
      </c>
      <c r="W8" s="42">
        <f>2^(V8-U8)</f>
        <v>1.1019051158766111</v>
      </c>
      <c r="X8" s="44"/>
      <c r="Y8" s="42">
        <v>1.1000000000000001</v>
      </c>
      <c r="Z8" s="10"/>
      <c r="AA8" s="10"/>
      <c r="AC8" s="14" t="s">
        <v>2</v>
      </c>
      <c r="AD8" s="69">
        <v>1024</v>
      </c>
      <c r="AE8" s="69">
        <v>131072</v>
      </c>
      <c r="AG8" s="15" t="s">
        <v>2</v>
      </c>
      <c r="AH8" s="20">
        <v>1024</v>
      </c>
      <c r="AI8" s="20">
        <v>131072</v>
      </c>
      <c r="AK8" s="79" t="s">
        <v>2</v>
      </c>
      <c r="AL8" s="69">
        <v>1024</v>
      </c>
      <c r="AM8" s="69"/>
      <c r="AP8" s="81">
        <v>4</v>
      </c>
      <c r="AQ8" s="69" t="s">
        <v>105</v>
      </c>
      <c r="AR8" s="14" t="s">
        <v>338</v>
      </c>
      <c r="AS8" s="199" t="s">
        <v>52</v>
      </c>
      <c r="AU8" s="81">
        <v>4</v>
      </c>
      <c r="AV8" s="101" t="s">
        <v>190</v>
      </c>
      <c r="AW8" s="14" t="s">
        <v>390</v>
      </c>
      <c r="AX8" s="195" t="s">
        <v>460</v>
      </c>
    </row>
    <row r="9" spans="1:50" x14ac:dyDescent="0.35">
      <c r="A9" s="44">
        <v>5</v>
      </c>
      <c r="B9" s="44" t="s">
        <v>108</v>
      </c>
      <c r="C9" s="71" t="s">
        <v>339</v>
      </c>
      <c r="D9" s="44">
        <v>24</v>
      </c>
      <c r="E9" s="44">
        <v>34</v>
      </c>
      <c r="F9" s="40">
        <f t="shared" si="0"/>
        <v>1024</v>
      </c>
      <c r="G9" s="44" t="s">
        <v>6</v>
      </c>
      <c r="H9" s="44">
        <v>23</v>
      </c>
      <c r="I9" s="44" t="s">
        <v>52</v>
      </c>
      <c r="J9" s="40">
        <f>2^(40-H9)</f>
        <v>131072</v>
      </c>
      <c r="K9" s="40">
        <v>131072</v>
      </c>
      <c r="L9" s="40"/>
      <c r="M9" s="48"/>
      <c r="N9" s="44">
        <v>4</v>
      </c>
      <c r="O9" s="44" t="s">
        <v>190</v>
      </c>
      <c r="P9" s="75" t="s">
        <v>390</v>
      </c>
      <c r="Q9" s="44" t="s">
        <v>246</v>
      </c>
      <c r="R9" s="44" t="s">
        <v>52</v>
      </c>
      <c r="S9" s="40">
        <f>2^(40-Q9)</f>
        <v>10884.594189078629</v>
      </c>
      <c r="T9" s="44" t="s">
        <v>6</v>
      </c>
      <c r="U9" s="44">
        <v>25</v>
      </c>
      <c r="V9" s="44" t="s">
        <v>247</v>
      </c>
      <c r="W9" s="44">
        <f>2^(V9-U9)</f>
        <v>136.23938335403037</v>
      </c>
      <c r="X9" s="40">
        <v>136.23938335403037</v>
      </c>
      <c r="Y9" s="44"/>
      <c r="Z9" s="10"/>
      <c r="AA9" s="10"/>
      <c r="AC9" s="14" t="s">
        <v>2</v>
      </c>
      <c r="AD9" s="69">
        <v>2288</v>
      </c>
      <c r="AE9" s="69">
        <v>1448</v>
      </c>
      <c r="AG9" s="15" t="s">
        <v>2</v>
      </c>
      <c r="AH9" s="20">
        <v>2288</v>
      </c>
      <c r="AI9" s="20">
        <v>1448</v>
      </c>
      <c r="AK9" s="79" t="s">
        <v>2</v>
      </c>
      <c r="AL9" s="69">
        <v>2288</v>
      </c>
      <c r="AM9" s="69"/>
      <c r="AP9" s="81">
        <v>5</v>
      </c>
      <c r="AQ9" s="69" t="s">
        <v>108</v>
      </c>
      <c r="AR9" s="133" t="s">
        <v>339</v>
      </c>
      <c r="AS9" s="199" t="s">
        <v>52</v>
      </c>
      <c r="AU9" s="81">
        <v>5</v>
      </c>
      <c r="AV9" s="101" t="s">
        <v>191</v>
      </c>
      <c r="AW9" s="14" t="s">
        <v>391</v>
      </c>
      <c r="AX9" s="195" t="s">
        <v>460</v>
      </c>
    </row>
    <row r="10" spans="1:50" x14ac:dyDescent="0.35">
      <c r="A10" s="44">
        <v>6</v>
      </c>
      <c r="B10" s="44" t="s">
        <v>109</v>
      </c>
      <c r="C10" s="72" t="s">
        <v>345</v>
      </c>
      <c r="D10" s="44" t="s">
        <v>110</v>
      </c>
      <c r="E10" s="44" t="s">
        <v>111</v>
      </c>
      <c r="F10" s="40">
        <f t="shared" si="0"/>
        <v>2288.2040587719002</v>
      </c>
      <c r="G10" s="44" t="s">
        <v>6</v>
      </c>
      <c r="H10" s="44">
        <v>28</v>
      </c>
      <c r="I10" s="44" t="s">
        <v>112</v>
      </c>
      <c r="J10" s="40">
        <f>2^(I10-H10)</f>
        <v>1448.1546878700494</v>
      </c>
      <c r="K10" s="40">
        <v>1448.1546878700494</v>
      </c>
      <c r="L10" s="40"/>
      <c r="M10" s="48"/>
      <c r="N10" s="44">
        <v>5</v>
      </c>
      <c r="O10" s="44" t="s">
        <v>191</v>
      </c>
      <c r="P10" s="75" t="s">
        <v>391</v>
      </c>
      <c r="Q10" s="44" t="s">
        <v>248</v>
      </c>
      <c r="R10" s="44" t="s">
        <v>249</v>
      </c>
      <c r="S10" s="40">
        <f>2^(R10-Q10)</f>
        <v>12245.805044817424</v>
      </c>
      <c r="T10" s="44" t="s">
        <v>5</v>
      </c>
      <c r="U10" s="44">
        <v>29</v>
      </c>
      <c r="V10" s="44" t="s">
        <v>52</v>
      </c>
      <c r="W10" s="44">
        <f>2^(40-U10)</f>
        <v>2048</v>
      </c>
      <c r="X10" s="40"/>
      <c r="Y10" s="44">
        <v>2048</v>
      </c>
      <c r="Z10" s="10"/>
      <c r="AA10" s="10"/>
      <c r="AC10" s="14" t="s">
        <v>2</v>
      </c>
      <c r="AD10" s="69">
        <v>36107</v>
      </c>
      <c r="AE10" s="69">
        <v>676</v>
      </c>
      <c r="AG10" s="15" t="s">
        <v>2</v>
      </c>
      <c r="AH10" s="20">
        <v>36107</v>
      </c>
      <c r="AI10" s="20">
        <v>676</v>
      </c>
      <c r="AK10" s="79" t="s">
        <v>2</v>
      </c>
      <c r="AL10" s="69">
        <v>36107</v>
      </c>
      <c r="AM10" s="69"/>
      <c r="AP10" s="81">
        <v>6</v>
      </c>
      <c r="AQ10" s="69" t="s">
        <v>109</v>
      </c>
      <c r="AR10" s="142" t="s">
        <v>345</v>
      </c>
      <c r="AS10" s="199" t="s">
        <v>52</v>
      </c>
      <c r="AU10" s="81">
        <v>6</v>
      </c>
      <c r="AV10" s="101" t="s">
        <v>192</v>
      </c>
      <c r="AW10" s="14" t="s">
        <v>392</v>
      </c>
      <c r="AX10" s="195" t="s">
        <v>460</v>
      </c>
    </row>
    <row r="11" spans="1:50" x14ac:dyDescent="0.35">
      <c r="A11" s="44">
        <v>7</v>
      </c>
      <c r="B11" s="44" t="s">
        <v>113</v>
      </c>
      <c r="C11" s="72" t="s">
        <v>346</v>
      </c>
      <c r="D11" s="44" t="s">
        <v>114</v>
      </c>
      <c r="E11" s="44" t="s">
        <v>115</v>
      </c>
      <c r="F11" s="40">
        <f t="shared" si="0"/>
        <v>36107.226837044771</v>
      </c>
      <c r="G11" s="44" t="s">
        <v>6</v>
      </c>
      <c r="H11" s="44">
        <v>24</v>
      </c>
      <c r="I11" s="44" t="s">
        <v>116</v>
      </c>
      <c r="J11" s="40">
        <f>2^(I11-H11)</f>
        <v>675.58805031572126</v>
      </c>
      <c r="K11" s="40">
        <v>675.58805031572126</v>
      </c>
      <c r="L11" s="40"/>
      <c r="M11" s="48"/>
      <c r="N11" s="44">
        <v>6</v>
      </c>
      <c r="O11" s="44" t="s">
        <v>192</v>
      </c>
      <c r="P11" s="75" t="s">
        <v>392</v>
      </c>
      <c r="Q11" s="44" t="s">
        <v>250</v>
      </c>
      <c r="R11" s="44" t="s">
        <v>251</v>
      </c>
      <c r="S11" s="40">
        <f>2^(R11-Q11)</f>
        <v>319.57262051881276</v>
      </c>
      <c r="T11" s="44" t="s">
        <v>6</v>
      </c>
      <c r="U11" s="44">
        <v>20</v>
      </c>
      <c r="V11" s="44" t="s">
        <v>52</v>
      </c>
      <c r="W11" s="44">
        <f>2^(40-U11)</f>
        <v>1048576</v>
      </c>
      <c r="X11" s="40">
        <v>1048576</v>
      </c>
      <c r="Y11" s="44"/>
      <c r="Z11" s="10"/>
      <c r="AA11" s="10"/>
      <c r="AC11" s="14" t="s">
        <v>2</v>
      </c>
      <c r="AD11" s="69">
        <v>15.35</v>
      </c>
      <c r="AE11" s="69">
        <v>16384</v>
      </c>
      <c r="AG11" s="15" t="s">
        <v>2</v>
      </c>
      <c r="AH11" s="20">
        <v>15.35</v>
      </c>
      <c r="AI11" s="20">
        <v>16384</v>
      </c>
      <c r="AK11" s="79" t="s">
        <v>2</v>
      </c>
      <c r="AL11" s="69">
        <v>15.35</v>
      </c>
      <c r="AM11" s="69"/>
      <c r="AP11" s="81">
        <v>7</v>
      </c>
      <c r="AQ11" s="69" t="s">
        <v>113</v>
      </c>
      <c r="AR11" s="142" t="s">
        <v>346</v>
      </c>
      <c r="AS11" s="199" t="s">
        <v>52</v>
      </c>
      <c r="AU11" s="81">
        <v>7</v>
      </c>
      <c r="AV11" s="101" t="s">
        <v>193</v>
      </c>
      <c r="AW11" s="14" t="s">
        <v>393</v>
      </c>
      <c r="AX11" s="195" t="s">
        <v>460</v>
      </c>
    </row>
    <row r="12" spans="1:50" x14ac:dyDescent="0.35">
      <c r="A12" s="44">
        <v>8</v>
      </c>
      <c r="B12" s="44" t="s">
        <v>117</v>
      </c>
      <c r="C12" s="54" t="s">
        <v>347</v>
      </c>
      <c r="D12" s="44">
        <v>30</v>
      </c>
      <c r="E12" s="44" t="s">
        <v>118</v>
      </c>
      <c r="F12" s="43">
        <f>2^(E12-30)</f>
        <v>15.348225909204205</v>
      </c>
      <c r="G12" s="44" t="s">
        <v>6</v>
      </c>
      <c r="H12" s="44">
        <v>23</v>
      </c>
      <c r="I12" s="44">
        <v>37</v>
      </c>
      <c r="J12" s="40">
        <f>2^(I12-H12)</f>
        <v>16384</v>
      </c>
      <c r="K12" s="40">
        <v>16384</v>
      </c>
      <c r="L12" s="40"/>
      <c r="M12" s="48"/>
      <c r="N12" s="516">
        <v>7</v>
      </c>
      <c r="O12" s="516" t="s">
        <v>193</v>
      </c>
      <c r="P12" s="519" t="s">
        <v>393</v>
      </c>
      <c r="Q12" s="516" t="s">
        <v>252</v>
      </c>
      <c r="R12" s="516" t="s">
        <v>253</v>
      </c>
      <c r="S12" s="536">
        <f>2^(R12-Q12)</f>
        <v>580.03654927144851</v>
      </c>
      <c r="T12" s="44" t="s">
        <v>5</v>
      </c>
      <c r="U12" s="44">
        <v>22</v>
      </c>
      <c r="V12" s="44">
        <v>32</v>
      </c>
      <c r="W12" s="40">
        <f>2^(V12-U12)</f>
        <v>1024</v>
      </c>
      <c r="X12" s="40">
        <v>64</v>
      </c>
      <c r="Y12" s="44">
        <v>1024</v>
      </c>
      <c r="Z12" s="10"/>
      <c r="AA12" s="10"/>
      <c r="AC12" s="14" t="s">
        <v>2</v>
      </c>
      <c r="AD12" s="69">
        <v>4.7E-2</v>
      </c>
      <c r="AE12" s="69">
        <v>26</v>
      </c>
      <c r="AG12" s="15" t="s">
        <v>2</v>
      </c>
      <c r="AH12" s="20">
        <v>4.7E-2</v>
      </c>
      <c r="AI12" s="20">
        <v>26</v>
      </c>
      <c r="AK12" s="79" t="s">
        <v>2</v>
      </c>
      <c r="AL12" s="69">
        <v>4.7E-2</v>
      </c>
      <c r="AM12" s="69"/>
      <c r="AP12" s="81">
        <v>8</v>
      </c>
      <c r="AQ12" s="69" t="s">
        <v>117</v>
      </c>
      <c r="AR12" s="14" t="s">
        <v>347</v>
      </c>
      <c r="AS12" s="199" t="s">
        <v>52</v>
      </c>
      <c r="AU12" s="81">
        <v>8</v>
      </c>
      <c r="AV12" s="106" t="s">
        <v>194</v>
      </c>
      <c r="AW12" s="142" t="s">
        <v>394</v>
      </c>
      <c r="AX12" s="195" t="s">
        <v>460</v>
      </c>
    </row>
    <row r="13" spans="1:50" x14ac:dyDescent="0.35">
      <c r="A13" s="44">
        <v>9</v>
      </c>
      <c r="B13" s="44" t="s">
        <v>119</v>
      </c>
      <c r="C13" s="72" t="s">
        <v>348</v>
      </c>
      <c r="D13" s="44" t="s">
        <v>120</v>
      </c>
      <c r="E13" s="44" t="s">
        <v>121</v>
      </c>
      <c r="F13" s="41">
        <f>2^(E13-D13)</f>
        <v>4.671403901984178E-2</v>
      </c>
      <c r="G13" s="44" t="s">
        <v>6</v>
      </c>
      <c r="H13" s="44">
        <v>26</v>
      </c>
      <c r="I13" s="44" t="s">
        <v>122</v>
      </c>
      <c r="J13" s="40">
        <f>2^(I13-H13)</f>
        <v>25.992076683399524</v>
      </c>
      <c r="K13" s="40">
        <v>25.992076683399524</v>
      </c>
      <c r="L13" s="40"/>
      <c r="M13" s="48"/>
      <c r="N13" s="518"/>
      <c r="O13" s="518"/>
      <c r="P13" s="521"/>
      <c r="Q13" s="518"/>
      <c r="R13" s="518"/>
      <c r="S13" s="537"/>
      <c r="T13" s="44" t="s">
        <v>6</v>
      </c>
      <c r="U13" s="44">
        <v>21</v>
      </c>
      <c r="V13" s="44">
        <v>27</v>
      </c>
      <c r="W13" s="40">
        <f>2^(V13-U13)</f>
        <v>64</v>
      </c>
      <c r="Y13" s="44"/>
      <c r="Z13" s="10"/>
      <c r="AA13" s="10"/>
      <c r="AC13" s="14" t="s">
        <v>2</v>
      </c>
      <c r="AD13" s="69">
        <v>42</v>
      </c>
      <c r="AE13" s="69">
        <v>40342</v>
      </c>
      <c r="AG13" s="15" t="s">
        <v>2</v>
      </c>
      <c r="AH13" s="20">
        <v>42</v>
      </c>
      <c r="AI13" s="20">
        <v>40342</v>
      </c>
      <c r="AK13" s="79" t="s">
        <v>2</v>
      </c>
      <c r="AL13" s="69">
        <v>42</v>
      </c>
      <c r="AM13" s="69"/>
      <c r="AP13" s="81">
        <v>9</v>
      </c>
      <c r="AQ13" s="69" t="s">
        <v>119</v>
      </c>
      <c r="AR13" s="142" t="s">
        <v>348</v>
      </c>
      <c r="AS13" s="199" t="s">
        <v>52</v>
      </c>
      <c r="AU13" s="81">
        <v>9</v>
      </c>
      <c r="AV13" s="101" t="s">
        <v>195</v>
      </c>
      <c r="AW13" s="14" t="s">
        <v>395</v>
      </c>
      <c r="AX13" s="195" t="s">
        <v>460</v>
      </c>
    </row>
    <row r="14" spans="1:50" x14ac:dyDescent="0.35">
      <c r="A14" s="44">
        <v>10</v>
      </c>
      <c r="B14" s="44" t="s">
        <v>123</v>
      </c>
      <c r="C14" s="72" t="s">
        <v>349</v>
      </c>
      <c r="D14" s="44" t="s">
        <v>124</v>
      </c>
      <c r="E14" s="44" t="s">
        <v>125</v>
      </c>
      <c r="F14" s="40">
        <f>2^(E14-D14)</f>
        <v>42.224253144732671</v>
      </c>
      <c r="G14" s="44" t="s">
        <v>6</v>
      </c>
      <c r="H14" s="44">
        <v>21</v>
      </c>
      <c r="I14" s="44" t="s">
        <v>53</v>
      </c>
      <c r="J14" s="40">
        <f>2^(I14-H14)</f>
        <v>40342.140136486094</v>
      </c>
      <c r="K14" s="40">
        <v>40342.140136486094</v>
      </c>
      <c r="L14" s="40"/>
      <c r="M14" s="48"/>
      <c r="N14" s="516">
        <v>8</v>
      </c>
      <c r="O14" s="516" t="s">
        <v>194</v>
      </c>
      <c r="P14" s="542" t="s">
        <v>394</v>
      </c>
      <c r="Q14" s="516" t="s">
        <v>254</v>
      </c>
      <c r="R14" s="516" t="s">
        <v>52</v>
      </c>
      <c r="S14" s="536">
        <f>2^(40-Q14)</f>
        <v>355625.68481444282</v>
      </c>
      <c r="T14" s="44" t="s">
        <v>5</v>
      </c>
      <c r="U14" s="44">
        <v>30</v>
      </c>
      <c r="V14" s="44" t="s">
        <v>52</v>
      </c>
      <c r="W14" s="40">
        <f>2^(40-U14)</f>
        <v>1024</v>
      </c>
      <c r="X14" s="40">
        <v>32768</v>
      </c>
      <c r="Y14" s="44">
        <v>1024</v>
      </c>
      <c r="Z14" s="10"/>
      <c r="AA14" s="10"/>
      <c r="AC14" s="14" t="s">
        <v>2</v>
      </c>
      <c r="AD14" s="69">
        <v>1.2</v>
      </c>
      <c r="AE14" s="69">
        <v>8</v>
      </c>
      <c r="AG14" s="15" t="s">
        <v>2</v>
      </c>
      <c r="AH14" s="20">
        <v>1.2</v>
      </c>
      <c r="AI14" s="20">
        <v>13</v>
      </c>
      <c r="AK14" s="79" t="s">
        <v>2</v>
      </c>
      <c r="AL14" s="69">
        <v>1.2</v>
      </c>
      <c r="AM14" s="69">
        <v>8</v>
      </c>
      <c r="AP14" s="81">
        <v>10</v>
      </c>
      <c r="AQ14" s="69" t="s">
        <v>123</v>
      </c>
      <c r="AR14" s="142" t="s">
        <v>349</v>
      </c>
      <c r="AS14" s="199" t="s">
        <v>52</v>
      </c>
      <c r="AU14" s="81">
        <v>10</v>
      </c>
      <c r="AV14" s="101" t="s">
        <v>196</v>
      </c>
      <c r="AW14" s="14" t="s">
        <v>396</v>
      </c>
      <c r="AX14" s="195" t="s">
        <v>460</v>
      </c>
    </row>
    <row r="15" spans="1:50" x14ac:dyDescent="0.3">
      <c r="A15" s="516">
        <v>11</v>
      </c>
      <c r="B15" s="516" t="s">
        <v>173</v>
      </c>
      <c r="C15" s="519" t="s">
        <v>350</v>
      </c>
      <c r="D15" s="516" t="s">
        <v>174</v>
      </c>
      <c r="E15" s="516" t="s">
        <v>122</v>
      </c>
      <c r="F15" s="534">
        <f>2^(E15-D15)</f>
        <v>1.197478704618927</v>
      </c>
      <c r="G15" s="44" t="s">
        <v>5</v>
      </c>
      <c r="H15" s="44">
        <v>37</v>
      </c>
      <c r="I15" s="44" t="s">
        <v>52</v>
      </c>
      <c r="J15" s="40">
        <f>2^(40-H15)</f>
        <v>8</v>
      </c>
      <c r="K15" s="42">
        <v>12.996038341699796</v>
      </c>
      <c r="L15" s="44">
        <v>8</v>
      </c>
      <c r="M15" s="48"/>
      <c r="N15" s="518"/>
      <c r="O15" s="518"/>
      <c r="P15" s="543"/>
      <c r="Q15" s="518"/>
      <c r="R15" s="518"/>
      <c r="S15" s="537"/>
      <c r="T15" s="44" t="s">
        <v>6</v>
      </c>
      <c r="U15" s="44">
        <v>21</v>
      </c>
      <c r="V15" s="44">
        <v>36</v>
      </c>
      <c r="W15" s="40">
        <f>2^(V15-U15)</f>
        <v>32768</v>
      </c>
      <c r="Y15" s="44"/>
      <c r="Z15" s="10"/>
      <c r="AA15" s="10"/>
      <c r="AC15" s="14" t="s">
        <v>2</v>
      </c>
      <c r="AD15" s="69">
        <v>1.2</v>
      </c>
      <c r="AE15" s="69">
        <v>13</v>
      </c>
      <c r="AG15" s="15" t="s">
        <v>2</v>
      </c>
      <c r="AH15" s="20">
        <v>326</v>
      </c>
      <c r="AI15" s="20">
        <v>294</v>
      </c>
      <c r="AK15" s="79" t="s">
        <v>2</v>
      </c>
      <c r="AL15" s="69">
        <v>326</v>
      </c>
      <c r="AM15" s="69"/>
      <c r="AP15" s="81">
        <v>11</v>
      </c>
      <c r="AQ15" s="69" t="s">
        <v>173</v>
      </c>
      <c r="AR15" s="14" t="s">
        <v>350</v>
      </c>
      <c r="AS15" s="199" t="s">
        <v>52</v>
      </c>
      <c r="AU15" s="81">
        <v>11</v>
      </c>
      <c r="AV15" s="97" t="s">
        <v>197</v>
      </c>
      <c r="AW15" s="14" t="s">
        <v>397</v>
      </c>
      <c r="AX15" s="195" t="s">
        <v>460</v>
      </c>
    </row>
    <row r="16" spans="1:50" x14ac:dyDescent="0.3">
      <c r="A16" s="518"/>
      <c r="B16" s="518"/>
      <c r="C16" s="521"/>
      <c r="D16" s="518"/>
      <c r="E16" s="518"/>
      <c r="F16" s="535"/>
      <c r="G16" s="44" t="s">
        <v>6</v>
      </c>
      <c r="H16" s="44">
        <v>29</v>
      </c>
      <c r="I16" s="44">
        <v>32.700000000000003</v>
      </c>
      <c r="J16" s="40">
        <f>2^(I16-H16)</f>
        <v>12.996038341699796</v>
      </c>
      <c r="L16" s="44"/>
      <c r="M16" s="48"/>
      <c r="N16" s="44">
        <v>9</v>
      </c>
      <c r="O16" s="44" t="s">
        <v>195</v>
      </c>
      <c r="P16" s="75" t="s">
        <v>395</v>
      </c>
      <c r="Q16" s="44" t="s">
        <v>255</v>
      </c>
      <c r="R16" s="44" t="s">
        <v>52</v>
      </c>
      <c r="S16" s="40">
        <f>2^(40-Q16)</f>
        <v>320507.81295530946</v>
      </c>
      <c r="T16" s="44" t="s">
        <v>6</v>
      </c>
      <c r="U16" s="44">
        <v>21</v>
      </c>
      <c r="V16" s="44">
        <v>27</v>
      </c>
      <c r="W16" s="44">
        <f>2^(V16-U16)</f>
        <v>64</v>
      </c>
      <c r="X16" s="40">
        <v>64</v>
      </c>
      <c r="Y16" s="44"/>
      <c r="Z16" s="10"/>
      <c r="AA16" s="10"/>
      <c r="AC16" s="14" t="s">
        <v>2</v>
      </c>
      <c r="AD16" s="69">
        <v>326</v>
      </c>
      <c r="AE16" s="69">
        <v>294</v>
      </c>
      <c r="AG16" s="15" t="s">
        <v>2</v>
      </c>
      <c r="AH16" s="20">
        <v>29532</v>
      </c>
      <c r="AI16" s="20"/>
      <c r="AK16" s="79" t="s">
        <v>2</v>
      </c>
      <c r="AL16" s="69">
        <v>29532</v>
      </c>
      <c r="AM16" s="69">
        <v>4096</v>
      </c>
      <c r="AP16" s="81">
        <v>12</v>
      </c>
      <c r="AQ16" s="69" t="s">
        <v>126</v>
      </c>
      <c r="AR16" s="14" t="s">
        <v>351</v>
      </c>
      <c r="AS16" s="199" t="s">
        <v>52</v>
      </c>
      <c r="AU16" s="81">
        <v>12</v>
      </c>
      <c r="AV16" s="97" t="s">
        <v>198</v>
      </c>
      <c r="AW16" s="14" t="s">
        <v>398</v>
      </c>
      <c r="AX16" s="195" t="s">
        <v>460</v>
      </c>
    </row>
    <row r="17" spans="1:50" x14ac:dyDescent="0.35">
      <c r="A17" s="44">
        <v>12</v>
      </c>
      <c r="B17" s="44" t="s">
        <v>126</v>
      </c>
      <c r="C17" s="54" t="s">
        <v>351</v>
      </c>
      <c r="D17" s="44" t="s">
        <v>127</v>
      </c>
      <c r="E17" s="44" t="s">
        <v>128</v>
      </c>
      <c r="F17" s="40">
        <f>2^(E17-D17)</f>
        <v>326.28752059373062</v>
      </c>
      <c r="G17" s="44" t="s">
        <v>6</v>
      </c>
      <c r="H17" s="44">
        <v>26</v>
      </c>
      <c r="I17" s="44" t="s">
        <v>129</v>
      </c>
      <c r="J17" s="40">
        <f>2^(I17-H17)</f>
        <v>294.06677887924144</v>
      </c>
      <c r="K17" s="40">
        <v>294.06677887924144</v>
      </c>
      <c r="L17" s="40"/>
      <c r="M17" s="48"/>
      <c r="N17" s="516">
        <v>10</v>
      </c>
      <c r="O17" s="516" t="s">
        <v>196</v>
      </c>
      <c r="P17" s="519" t="s">
        <v>396</v>
      </c>
      <c r="Q17" s="516">
        <v>19</v>
      </c>
      <c r="R17" s="516" t="s">
        <v>52</v>
      </c>
      <c r="S17" s="536">
        <f>2^(40-Q17)</f>
        <v>2097152</v>
      </c>
      <c r="T17" s="44" t="s">
        <v>5</v>
      </c>
      <c r="U17" s="44">
        <v>24</v>
      </c>
      <c r="V17" s="44">
        <v>38</v>
      </c>
      <c r="W17" s="44">
        <f>2^(V17-U17)</f>
        <v>16384</v>
      </c>
      <c r="X17" s="40">
        <v>2048</v>
      </c>
      <c r="Y17" s="44">
        <v>16384</v>
      </c>
      <c r="Z17" s="10"/>
      <c r="AA17" s="10"/>
      <c r="AC17" s="14" t="s">
        <v>2</v>
      </c>
      <c r="AD17" s="69">
        <v>29532</v>
      </c>
      <c r="AE17" s="69">
        <v>4096</v>
      </c>
      <c r="AG17" s="15" t="s">
        <v>2</v>
      </c>
      <c r="AH17" s="20">
        <v>10661</v>
      </c>
      <c r="AI17" s="20">
        <v>4096</v>
      </c>
      <c r="AK17" s="79" t="s">
        <v>2</v>
      </c>
      <c r="AL17" s="69">
        <v>10661</v>
      </c>
      <c r="AM17" s="69"/>
      <c r="AP17" s="81">
        <v>13</v>
      </c>
      <c r="AQ17" s="69" t="s">
        <v>130</v>
      </c>
      <c r="AR17" s="14" t="s">
        <v>341</v>
      </c>
      <c r="AS17" s="199" t="s">
        <v>52</v>
      </c>
      <c r="AU17" s="81">
        <v>13</v>
      </c>
      <c r="AV17" s="101" t="s">
        <v>199</v>
      </c>
      <c r="AW17" s="14" t="s">
        <v>399</v>
      </c>
      <c r="AX17" s="195" t="s">
        <v>460</v>
      </c>
    </row>
    <row r="18" spans="1:50" x14ac:dyDescent="0.35">
      <c r="A18" s="44">
        <v>13</v>
      </c>
      <c r="B18" s="44" t="s">
        <v>130</v>
      </c>
      <c r="C18" s="54" t="s">
        <v>341</v>
      </c>
      <c r="D18" s="44" t="s">
        <v>131</v>
      </c>
      <c r="E18" s="44">
        <v>39</v>
      </c>
      <c r="F18" s="40">
        <f t="shared" ref="F18:F23" si="1">2^(E18-D18)</f>
        <v>29532.175158831684</v>
      </c>
      <c r="G18" s="44" t="s">
        <v>5</v>
      </c>
      <c r="H18" s="44">
        <v>28</v>
      </c>
      <c r="I18" s="44" t="s">
        <v>52</v>
      </c>
      <c r="J18" s="40">
        <f>2^(40-H18)</f>
        <v>4096</v>
      </c>
      <c r="K18" s="40"/>
      <c r="L18" s="40">
        <v>4096</v>
      </c>
      <c r="M18" s="8"/>
      <c r="N18" s="518"/>
      <c r="O18" s="518"/>
      <c r="P18" s="521"/>
      <c r="Q18" s="518"/>
      <c r="R18" s="518"/>
      <c r="S18" s="537"/>
      <c r="T18" s="44" t="s">
        <v>6</v>
      </c>
      <c r="U18" s="44">
        <v>22</v>
      </c>
      <c r="V18" s="44">
        <v>33</v>
      </c>
      <c r="W18" s="44">
        <f>2^(V18-U18)</f>
        <v>2048</v>
      </c>
      <c r="Y18" s="44"/>
      <c r="Z18" s="10"/>
      <c r="AA18" s="10"/>
      <c r="AC18" s="14" t="s">
        <v>2</v>
      </c>
      <c r="AD18" s="69">
        <v>10661</v>
      </c>
      <c r="AE18" s="69">
        <v>4096</v>
      </c>
      <c r="AG18" s="15" t="s">
        <v>2</v>
      </c>
      <c r="AH18" s="20">
        <v>1.2</v>
      </c>
      <c r="AI18" s="20">
        <v>1024</v>
      </c>
      <c r="AK18" s="79" t="s">
        <v>2</v>
      </c>
      <c r="AL18" s="69">
        <v>1.2</v>
      </c>
      <c r="AM18" s="69"/>
      <c r="AP18" s="81">
        <v>14</v>
      </c>
      <c r="AQ18" s="69" t="s">
        <v>132</v>
      </c>
      <c r="AR18" s="14" t="s">
        <v>352</v>
      </c>
      <c r="AS18" s="199" t="s">
        <v>52</v>
      </c>
      <c r="AU18" s="81">
        <v>14</v>
      </c>
      <c r="AV18" s="97" t="s">
        <v>200</v>
      </c>
      <c r="AW18" s="14" t="s">
        <v>400</v>
      </c>
      <c r="AX18" s="195" t="s">
        <v>460</v>
      </c>
    </row>
    <row r="19" spans="1:50" x14ac:dyDescent="0.35">
      <c r="A19" s="44">
        <v>14</v>
      </c>
      <c r="B19" s="44" t="s">
        <v>132</v>
      </c>
      <c r="C19" s="54" t="s">
        <v>352</v>
      </c>
      <c r="D19" s="44" t="s">
        <v>133</v>
      </c>
      <c r="E19" s="44" t="s">
        <v>134</v>
      </c>
      <c r="F19" s="40">
        <f t="shared" si="1"/>
        <v>10660.592479780327</v>
      </c>
      <c r="G19" s="44" t="s">
        <v>6</v>
      </c>
      <c r="H19" s="44">
        <v>23</v>
      </c>
      <c r="I19" s="44">
        <v>35</v>
      </c>
      <c r="J19" s="40">
        <f>2^(I19-H19)</f>
        <v>4096</v>
      </c>
      <c r="K19" s="40">
        <v>4096</v>
      </c>
      <c r="L19" s="40"/>
      <c r="M19" s="48"/>
      <c r="N19" s="44">
        <v>11</v>
      </c>
      <c r="O19" s="44" t="s">
        <v>197</v>
      </c>
      <c r="P19" s="75" t="s">
        <v>397</v>
      </c>
      <c r="Q19" s="44" t="s">
        <v>256</v>
      </c>
      <c r="R19" s="44" t="s">
        <v>257</v>
      </c>
      <c r="S19" s="40">
        <f>2^(R19-Q19)</f>
        <v>2048</v>
      </c>
      <c r="T19" s="44" t="s">
        <v>6</v>
      </c>
      <c r="U19" s="44">
        <v>27</v>
      </c>
      <c r="V19" s="44" t="s">
        <v>52</v>
      </c>
      <c r="W19" s="44">
        <f>2^(40-U19)</f>
        <v>8192</v>
      </c>
      <c r="X19" s="40">
        <v>8192</v>
      </c>
      <c r="Y19" s="44"/>
      <c r="Z19" s="10"/>
      <c r="AA19" s="10"/>
      <c r="AC19" s="14" t="s">
        <v>2</v>
      </c>
      <c r="AD19" s="69">
        <v>1.2</v>
      </c>
      <c r="AE19" s="69">
        <v>1024</v>
      </c>
      <c r="AG19" s="15" t="s">
        <v>2</v>
      </c>
      <c r="AH19" s="20">
        <v>516</v>
      </c>
      <c r="AI19" s="20">
        <v>8192</v>
      </c>
      <c r="AK19" s="79" t="s">
        <v>2</v>
      </c>
      <c r="AL19" s="69">
        <v>516</v>
      </c>
      <c r="AM19" s="69"/>
      <c r="AP19" s="81">
        <v>15</v>
      </c>
      <c r="AQ19" s="69" t="s">
        <v>135</v>
      </c>
      <c r="AR19" s="14" t="s">
        <v>353</v>
      </c>
      <c r="AS19" s="199" t="s">
        <v>52</v>
      </c>
      <c r="AU19" s="81">
        <v>15</v>
      </c>
      <c r="AV19" s="97" t="s">
        <v>201</v>
      </c>
      <c r="AW19" s="14" t="s">
        <v>401</v>
      </c>
      <c r="AX19" s="195" t="s">
        <v>460</v>
      </c>
    </row>
    <row r="20" spans="1:50" x14ac:dyDescent="0.35">
      <c r="A20" s="44">
        <v>15</v>
      </c>
      <c r="B20" s="44" t="s">
        <v>135</v>
      </c>
      <c r="C20" s="54" t="s">
        <v>353</v>
      </c>
      <c r="D20" s="44" t="s">
        <v>136</v>
      </c>
      <c r="E20" s="44" t="s">
        <v>137</v>
      </c>
      <c r="F20" s="42">
        <f t="shared" si="1"/>
        <v>1.2141948843950479</v>
      </c>
      <c r="G20" s="44" t="s">
        <v>6</v>
      </c>
      <c r="H20" s="44">
        <v>30</v>
      </c>
      <c r="I20" s="44" t="s">
        <v>52</v>
      </c>
      <c r="J20" s="40">
        <f>2^(40-H20)</f>
        <v>1024</v>
      </c>
      <c r="K20" s="40">
        <v>1024</v>
      </c>
      <c r="L20" s="40"/>
      <c r="M20" s="48"/>
      <c r="N20" s="516">
        <v>12</v>
      </c>
      <c r="O20" s="516" t="s">
        <v>198</v>
      </c>
      <c r="P20" s="519" t="s">
        <v>398</v>
      </c>
      <c r="Q20" s="516" t="s">
        <v>258</v>
      </c>
      <c r="R20" s="516" t="s">
        <v>52</v>
      </c>
      <c r="S20" s="536">
        <f>2^(40-Q20)</f>
        <v>546552.2888198687</v>
      </c>
      <c r="T20" s="44" t="s">
        <v>5</v>
      </c>
      <c r="U20" s="44">
        <v>26</v>
      </c>
      <c r="V20" s="44" t="s">
        <v>52</v>
      </c>
      <c r="W20" s="44">
        <f>2^(40-U20)</f>
        <v>16384</v>
      </c>
      <c r="X20" s="40">
        <v>4096</v>
      </c>
      <c r="Y20" s="44">
        <v>16384</v>
      </c>
      <c r="Z20" s="10"/>
      <c r="AA20" s="10"/>
      <c r="AC20" s="14" t="s">
        <v>2</v>
      </c>
      <c r="AD20" s="69">
        <v>516</v>
      </c>
      <c r="AE20" s="69">
        <v>8192</v>
      </c>
      <c r="AG20" s="15" t="s">
        <v>2</v>
      </c>
      <c r="AH20" s="20">
        <v>9</v>
      </c>
      <c r="AI20" s="20">
        <v>8192</v>
      </c>
      <c r="AK20" s="79" t="s">
        <v>2</v>
      </c>
      <c r="AL20" s="69">
        <v>9</v>
      </c>
      <c r="AM20" s="69"/>
      <c r="AP20" s="81">
        <v>16</v>
      </c>
      <c r="AQ20" s="69" t="s">
        <v>138</v>
      </c>
      <c r="AR20" s="14" t="s">
        <v>342</v>
      </c>
      <c r="AS20" s="199" t="s">
        <v>52</v>
      </c>
      <c r="AU20" s="81">
        <v>16</v>
      </c>
      <c r="AV20" s="97" t="s">
        <v>202</v>
      </c>
      <c r="AW20" s="14" t="s">
        <v>402</v>
      </c>
      <c r="AX20" s="195" t="s">
        <v>460</v>
      </c>
    </row>
    <row r="21" spans="1:50" x14ac:dyDescent="0.35">
      <c r="A21" s="44">
        <v>16</v>
      </c>
      <c r="B21" s="44" t="s">
        <v>138</v>
      </c>
      <c r="C21" s="54" t="s">
        <v>342</v>
      </c>
      <c r="D21" s="44" t="s">
        <v>139</v>
      </c>
      <c r="E21" s="44" t="s">
        <v>140</v>
      </c>
      <c r="F21" s="40">
        <f t="shared" si="1"/>
        <v>515.56124162903916</v>
      </c>
      <c r="G21" s="44" t="s">
        <v>6</v>
      </c>
      <c r="H21" s="44">
        <v>25</v>
      </c>
      <c r="I21" s="44">
        <v>38</v>
      </c>
      <c r="J21" s="40">
        <f>2^(I21-H21)</f>
        <v>8192</v>
      </c>
      <c r="K21" s="40">
        <v>8192</v>
      </c>
      <c r="L21" s="40"/>
      <c r="M21" s="48"/>
      <c r="N21" s="518"/>
      <c r="O21" s="518"/>
      <c r="P21" s="521"/>
      <c r="Q21" s="518"/>
      <c r="R21" s="518"/>
      <c r="S21" s="537"/>
      <c r="T21" s="44" t="s">
        <v>6</v>
      </c>
      <c r="U21" s="44">
        <v>22</v>
      </c>
      <c r="V21" s="44">
        <v>34</v>
      </c>
      <c r="W21" s="44">
        <f>2^(V21-U21)</f>
        <v>4096</v>
      </c>
      <c r="Y21" s="43"/>
      <c r="Z21" s="10"/>
      <c r="AA21" s="10"/>
      <c r="AC21" s="14" t="s">
        <v>2</v>
      </c>
      <c r="AD21" s="69">
        <v>9</v>
      </c>
      <c r="AE21" s="69">
        <v>8192</v>
      </c>
      <c r="AG21" s="15" t="s">
        <v>2</v>
      </c>
      <c r="AH21" s="20">
        <v>256</v>
      </c>
      <c r="AI21" s="20">
        <v>2048</v>
      </c>
      <c r="AK21" s="79" t="s">
        <v>2</v>
      </c>
      <c r="AL21" s="69">
        <v>256</v>
      </c>
      <c r="AM21" s="69"/>
      <c r="AP21" s="81">
        <v>17</v>
      </c>
      <c r="AQ21" s="69" t="s">
        <v>141</v>
      </c>
      <c r="AR21" s="142" t="s">
        <v>354</v>
      </c>
      <c r="AS21" s="199" t="s">
        <v>52</v>
      </c>
      <c r="AU21" s="81">
        <v>17</v>
      </c>
      <c r="AV21" s="97" t="s">
        <v>203</v>
      </c>
      <c r="AW21" s="14" t="s">
        <v>403</v>
      </c>
      <c r="AX21" s="195" t="s">
        <v>460</v>
      </c>
    </row>
    <row r="22" spans="1:50" x14ac:dyDescent="0.35">
      <c r="A22" s="44">
        <v>17</v>
      </c>
      <c r="B22" s="44" t="s">
        <v>141</v>
      </c>
      <c r="C22" s="72" t="s">
        <v>354</v>
      </c>
      <c r="D22" s="44" t="s">
        <v>142</v>
      </c>
      <c r="E22" s="44" t="s">
        <v>143</v>
      </c>
      <c r="F22" s="40">
        <f t="shared" si="1"/>
        <v>8.7543496100859102</v>
      </c>
      <c r="G22" s="44" t="s">
        <v>6</v>
      </c>
      <c r="H22" s="44">
        <v>27</v>
      </c>
      <c r="I22" s="44" t="s">
        <v>52</v>
      </c>
      <c r="J22" s="40">
        <f>2^(40-H22)</f>
        <v>8192</v>
      </c>
      <c r="K22" s="40">
        <v>8192</v>
      </c>
      <c r="L22" s="40"/>
      <c r="M22" s="48"/>
      <c r="N22" s="44">
        <v>13</v>
      </c>
      <c r="O22" s="44" t="s">
        <v>199</v>
      </c>
      <c r="P22" s="75" t="s">
        <v>399</v>
      </c>
      <c r="Q22" s="44">
        <v>22</v>
      </c>
      <c r="R22" s="44" t="s">
        <v>52</v>
      </c>
      <c r="S22" s="40">
        <f>2^(40-Q22)</f>
        <v>262144</v>
      </c>
      <c r="T22" s="44" t="s">
        <v>6</v>
      </c>
      <c r="U22" s="44">
        <v>24</v>
      </c>
      <c r="V22" s="44" t="s">
        <v>52</v>
      </c>
      <c r="W22" s="40">
        <f>2^(40-U22)</f>
        <v>65536</v>
      </c>
      <c r="X22" s="44">
        <v>65536</v>
      </c>
      <c r="Y22" s="44"/>
      <c r="Z22" s="10"/>
      <c r="AA22" s="10"/>
      <c r="AC22" s="14" t="s">
        <v>2</v>
      </c>
      <c r="AD22" s="69">
        <v>256</v>
      </c>
      <c r="AE22" s="69">
        <v>2048</v>
      </c>
      <c r="AG22" s="15" t="s">
        <v>2</v>
      </c>
      <c r="AH22" s="20">
        <v>1911</v>
      </c>
      <c r="AI22" s="20">
        <v>1024</v>
      </c>
      <c r="AK22" s="79" t="s">
        <v>2</v>
      </c>
      <c r="AL22" s="69">
        <v>1911</v>
      </c>
      <c r="AM22" s="69"/>
      <c r="AP22" s="81">
        <v>18</v>
      </c>
      <c r="AQ22" s="69" t="s">
        <v>144</v>
      </c>
      <c r="AR22" s="14" t="s">
        <v>355</v>
      </c>
      <c r="AS22" s="199" t="s">
        <v>52</v>
      </c>
      <c r="AU22" s="81">
        <v>18</v>
      </c>
      <c r="AV22" s="97" t="s">
        <v>204</v>
      </c>
      <c r="AW22" s="145" t="s">
        <v>404</v>
      </c>
      <c r="AX22" s="195" t="s">
        <v>460</v>
      </c>
    </row>
    <row r="23" spans="1:50" x14ac:dyDescent="0.35">
      <c r="A23" s="44">
        <v>18</v>
      </c>
      <c r="B23" s="44" t="s">
        <v>144</v>
      </c>
      <c r="C23" s="54" t="s">
        <v>355</v>
      </c>
      <c r="D23" s="44">
        <v>27.2</v>
      </c>
      <c r="E23" s="44">
        <v>35.200000000000003</v>
      </c>
      <c r="F23" s="40">
        <f t="shared" si="1"/>
        <v>256.00000000000063</v>
      </c>
      <c r="G23" s="44" t="s">
        <v>6</v>
      </c>
      <c r="H23" s="44">
        <v>26</v>
      </c>
      <c r="I23" s="44">
        <v>37</v>
      </c>
      <c r="J23" s="40">
        <f>2^(I23-H23)</f>
        <v>2048</v>
      </c>
      <c r="K23" s="40">
        <v>2048</v>
      </c>
      <c r="L23" s="40"/>
      <c r="M23" s="48"/>
      <c r="N23" s="44">
        <v>14</v>
      </c>
      <c r="O23" s="44" t="s">
        <v>200</v>
      </c>
      <c r="P23" s="75" t="s">
        <v>400</v>
      </c>
      <c r="Q23" s="44">
        <v>26.18</v>
      </c>
      <c r="R23" s="44">
        <v>39</v>
      </c>
      <c r="S23" s="40">
        <f>2^(R23-Q23)</f>
        <v>7231.1029456130436</v>
      </c>
      <c r="T23" s="44" t="s">
        <v>5</v>
      </c>
      <c r="U23" s="44">
        <v>28</v>
      </c>
      <c r="V23" s="44" t="s">
        <v>52</v>
      </c>
      <c r="W23" s="44">
        <f>2^(40-U23)</f>
        <v>4096</v>
      </c>
      <c r="X23" s="40"/>
      <c r="Y23" s="44">
        <v>4096</v>
      </c>
      <c r="Z23" s="10"/>
      <c r="AA23" s="10"/>
      <c r="AC23" s="14" t="s">
        <v>2</v>
      </c>
      <c r="AD23" s="69">
        <v>1911</v>
      </c>
      <c r="AE23" s="69">
        <v>1024</v>
      </c>
      <c r="AG23" s="15" t="s">
        <v>2</v>
      </c>
      <c r="AH23" s="20">
        <v>1351</v>
      </c>
      <c r="AI23" s="20">
        <v>32768</v>
      </c>
      <c r="AK23" s="79" t="s">
        <v>2</v>
      </c>
      <c r="AL23" s="69">
        <v>1351</v>
      </c>
      <c r="AM23" s="69"/>
      <c r="AP23" s="81">
        <v>19</v>
      </c>
      <c r="AQ23" s="69" t="s">
        <v>145</v>
      </c>
      <c r="AR23" s="14" t="s">
        <v>356</v>
      </c>
      <c r="AS23" s="199" t="s">
        <v>52</v>
      </c>
      <c r="AU23" s="81">
        <v>19</v>
      </c>
      <c r="AV23" s="97" t="s">
        <v>205</v>
      </c>
      <c r="AW23" s="145" t="s">
        <v>405</v>
      </c>
      <c r="AX23" s="195" t="s">
        <v>460</v>
      </c>
    </row>
    <row r="24" spans="1:50" x14ac:dyDescent="0.35">
      <c r="A24" s="44">
        <v>19</v>
      </c>
      <c r="B24" s="44" t="s">
        <v>145</v>
      </c>
      <c r="C24" s="54" t="s">
        <v>356</v>
      </c>
      <c r="D24" s="44">
        <v>29.1</v>
      </c>
      <c r="E24" s="44" t="s">
        <v>52</v>
      </c>
      <c r="F24" s="40">
        <f>2^(40-D24)</f>
        <v>1910.85156666738</v>
      </c>
      <c r="G24" s="44" t="s">
        <v>6</v>
      </c>
      <c r="H24" s="44">
        <v>26</v>
      </c>
      <c r="I24" s="44">
        <v>36</v>
      </c>
      <c r="J24" s="40">
        <f>2^(I24-H24)</f>
        <v>1024</v>
      </c>
      <c r="K24" s="40">
        <v>1024</v>
      </c>
      <c r="L24" s="40"/>
      <c r="M24" s="48"/>
      <c r="N24" s="44">
        <v>15</v>
      </c>
      <c r="O24" s="44" t="s">
        <v>201</v>
      </c>
      <c r="P24" s="75" t="s">
        <v>401</v>
      </c>
      <c r="Q24" s="44" t="s">
        <v>259</v>
      </c>
      <c r="R24" s="44" t="s">
        <v>260</v>
      </c>
      <c r="S24" s="42">
        <f>2^(R24-Q24)</f>
        <v>0.42337265618126407</v>
      </c>
      <c r="T24" s="44" t="s">
        <v>6</v>
      </c>
      <c r="U24" s="44">
        <v>25</v>
      </c>
      <c r="V24" s="44" t="s">
        <v>52</v>
      </c>
      <c r="W24" s="44">
        <f>2^(40-U24)</f>
        <v>32768</v>
      </c>
      <c r="X24" s="40">
        <v>32768</v>
      </c>
      <c r="Y24" s="44"/>
      <c r="Z24" s="10"/>
      <c r="AA24" s="10"/>
      <c r="AC24" s="14" t="s">
        <v>2</v>
      </c>
      <c r="AD24" s="69">
        <v>1351</v>
      </c>
      <c r="AE24" s="69">
        <v>32768</v>
      </c>
      <c r="AG24" s="15" t="s">
        <v>2</v>
      </c>
      <c r="AH24" s="20">
        <v>1552</v>
      </c>
      <c r="AI24" s="20">
        <v>256</v>
      </c>
      <c r="AK24" s="79" t="s">
        <v>2</v>
      </c>
      <c r="AL24" s="69">
        <v>1552</v>
      </c>
      <c r="AM24" s="69"/>
      <c r="AP24" s="81">
        <v>20</v>
      </c>
      <c r="AQ24" s="69" t="s">
        <v>146</v>
      </c>
      <c r="AR24" s="14" t="s">
        <v>357</v>
      </c>
      <c r="AS24" s="199" t="s">
        <v>52</v>
      </c>
      <c r="AU24" s="81">
        <v>20</v>
      </c>
      <c r="AV24" s="97" t="s">
        <v>206</v>
      </c>
      <c r="AW24" s="145" t="s">
        <v>406</v>
      </c>
      <c r="AX24" s="195" t="s">
        <v>460</v>
      </c>
    </row>
    <row r="25" spans="1:50" x14ac:dyDescent="0.35">
      <c r="A25" s="44">
        <v>20</v>
      </c>
      <c r="B25" s="44" t="s">
        <v>146</v>
      </c>
      <c r="C25" s="54" t="s">
        <v>357</v>
      </c>
      <c r="D25" s="44">
        <v>21.6</v>
      </c>
      <c r="E25" s="44">
        <v>32</v>
      </c>
      <c r="F25" s="40">
        <f>2^(E25-D25)</f>
        <v>1351.1761006314425</v>
      </c>
      <c r="G25" s="44" t="s">
        <v>6</v>
      </c>
      <c r="H25" s="44">
        <v>20</v>
      </c>
      <c r="I25" s="44">
        <v>35</v>
      </c>
      <c r="J25" s="40">
        <f>2^(I25-H25)</f>
        <v>32768</v>
      </c>
      <c r="K25" s="40">
        <v>32768</v>
      </c>
      <c r="L25" s="40"/>
      <c r="M25" s="48"/>
      <c r="N25" s="44">
        <v>16</v>
      </c>
      <c r="O25" s="44" t="s">
        <v>202</v>
      </c>
      <c r="P25" s="75" t="s">
        <v>402</v>
      </c>
      <c r="Q25" s="44" t="s">
        <v>261</v>
      </c>
      <c r="R25" s="44" t="s">
        <v>262</v>
      </c>
      <c r="S25" s="40">
        <f>2^(R25-Q25)</f>
        <v>27746.150395495246</v>
      </c>
      <c r="T25" s="44" t="s">
        <v>6</v>
      </c>
      <c r="U25" s="44">
        <v>30</v>
      </c>
      <c r="V25" s="44">
        <v>39</v>
      </c>
      <c r="W25" s="44">
        <f>2^(V25-U25)</f>
        <v>512</v>
      </c>
      <c r="X25" s="40">
        <v>512</v>
      </c>
      <c r="Y25" s="44"/>
      <c r="Z25" s="10"/>
      <c r="AA25" s="10"/>
      <c r="AC25" s="14" t="s">
        <v>2</v>
      </c>
      <c r="AD25" s="69">
        <v>1552</v>
      </c>
      <c r="AE25" s="69">
        <v>256</v>
      </c>
      <c r="AG25" s="15" t="s">
        <v>2</v>
      </c>
      <c r="AH25" s="20">
        <v>416</v>
      </c>
      <c r="AI25" s="20">
        <v>2048</v>
      </c>
      <c r="AK25" s="79" t="s">
        <v>2</v>
      </c>
      <c r="AL25" s="69">
        <v>416</v>
      </c>
      <c r="AM25" s="69">
        <v>1024</v>
      </c>
      <c r="AP25" s="81">
        <v>21</v>
      </c>
      <c r="AQ25" s="69" t="s">
        <v>147</v>
      </c>
      <c r="AR25" s="14" t="s">
        <v>358</v>
      </c>
      <c r="AS25" s="199" t="s">
        <v>52</v>
      </c>
      <c r="AU25" s="81">
        <v>21</v>
      </c>
      <c r="AV25" s="97" t="s">
        <v>207</v>
      </c>
      <c r="AW25" s="145" t="s">
        <v>407</v>
      </c>
      <c r="AX25" s="195" t="s">
        <v>460</v>
      </c>
    </row>
    <row r="26" spans="1:50" x14ac:dyDescent="0.35">
      <c r="A26" s="44">
        <v>21</v>
      </c>
      <c r="B26" s="44" t="s">
        <v>147</v>
      </c>
      <c r="C26" s="54" t="s">
        <v>358</v>
      </c>
      <c r="D26" s="44">
        <v>22.1</v>
      </c>
      <c r="E26" s="44">
        <v>32.700000000000003</v>
      </c>
      <c r="F26" s="40">
        <f>2^(E26-D26)</f>
        <v>1552.0937641066491</v>
      </c>
      <c r="G26" s="44" t="s">
        <v>6</v>
      </c>
      <c r="H26" s="44">
        <v>24</v>
      </c>
      <c r="I26" s="44">
        <v>32</v>
      </c>
      <c r="J26" s="40">
        <f>2^(I26-H26)</f>
        <v>256</v>
      </c>
      <c r="K26" s="40">
        <v>256</v>
      </c>
      <c r="L26" s="40"/>
      <c r="M26" s="48"/>
      <c r="N26" s="516">
        <v>17</v>
      </c>
      <c r="O26" s="516" t="s">
        <v>203</v>
      </c>
      <c r="P26" s="519" t="s">
        <v>403</v>
      </c>
      <c r="Q26" s="516">
        <v>27</v>
      </c>
      <c r="R26" s="516">
        <v>35</v>
      </c>
      <c r="S26" s="536">
        <f>2^(R26-Q26)</f>
        <v>256</v>
      </c>
      <c r="T26" s="44" t="s">
        <v>5</v>
      </c>
      <c r="U26" s="44">
        <v>27</v>
      </c>
      <c r="V26" s="44" t="s">
        <v>52</v>
      </c>
      <c r="W26" s="44">
        <f>2^(40-U26)</f>
        <v>8192</v>
      </c>
      <c r="X26" s="40">
        <v>2048</v>
      </c>
      <c r="Y26" s="44">
        <v>8192</v>
      </c>
      <c r="Z26" s="10"/>
      <c r="AA26" s="10"/>
      <c r="AC26" s="14" t="s">
        <v>2</v>
      </c>
      <c r="AD26" s="69">
        <v>416</v>
      </c>
      <c r="AE26" s="69">
        <v>1024</v>
      </c>
      <c r="AG26" s="15" t="s">
        <v>2</v>
      </c>
      <c r="AH26" s="20">
        <v>15287</v>
      </c>
      <c r="AI26" s="20">
        <v>32</v>
      </c>
      <c r="AK26" s="79" t="s">
        <v>2</v>
      </c>
      <c r="AL26" s="69">
        <v>15287</v>
      </c>
      <c r="AM26" s="69">
        <v>4096</v>
      </c>
      <c r="AP26" s="81">
        <v>22</v>
      </c>
      <c r="AQ26" s="69" t="s">
        <v>148</v>
      </c>
      <c r="AR26" s="14" t="s">
        <v>359</v>
      </c>
      <c r="AS26" s="199" t="s">
        <v>52</v>
      </c>
      <c r="AU26" s="81">
        <v>22</v>
      </c>
      <c r="AV26" s="97" t="s">
        <v>208</v>
      </c>
      <c r="AW26" s="145" t="s">
        <v>408</v>
      </c>
      <c r="AX26" s="195" t="s">
        <v>460</v>
      </c>
    </row>
    <row r="27" spans="1:50" x14ac:dyDescent="0.3">
      <c r="A27" s="516">
        <v>22</v>
      </c>
      <c r="B27" s="519" t="s">
        <v>148</v>
      </c>
      <c r="C27" s="519" t="s">
        <v>359</v>
      </c>
      <c r="D27" s="516">
        <v>26.1</v>
      </c>
      <c r="E27" s="516">
        <v>34.799999999999997</v>
      </c>
      <c r="F27" s="536">
        <v>415.87322693439143</v>
      </c>
      <c r="G27" s="44" t="s">
        <v>5</v>
      </c>
      <c r="H27" s="44">
        <v>26</v>
      </c>
      <c r="I27" s="44">
        <v>36</v>
      </c>
      <c r="J27" s="40">
        <v>1024</v>
      </c>
      <c r="K27" s="40">
        <v>2048</v>
      </c>
      <c r="L27" s="44">
        <v>1024</v>
      </c>
      <c r="M27" s="48"/>
      <c r="N27" s="518"/>
      <c r="O27" s="518"/>
      <c r="P27" s="521"/>
      <c r="Q27" s="518"/>
      <c r="R27" s="518"/>
      <c r="S27" s="537"/>
      <c r="T27" s="44" t="s">
        <v>6</v>
      </c>
      <c r="U27" s="44">
        <v>29</v>
      </c>
      <c r="V27" s="44" t="s">
        <v>52</v>
      </c>
      <c r="W27" s="44">
        <f>2^(40-U27)</f>
        <v>2048</v>
      </c>
      <c r="Y27" s="44"/>
      <c r="Z27" s="10"/>
      <c r="AA27" s="10"/>
      <c r="AC27" s="14" t="s">
        <v>2</v>
      </c>
      <c r="AD27" s="69">
        <v>416</v>
      </c>
      <c r="AE27" s="69">
        <v>2048</v>
      </c>
      <c r="AG27" s="15" t="s">
        <v>2</v>
      </c>
      <c r="AH27" s="20">
        <v>9</v>
      </c>
      <c r="AI27" s="20">
        <v>0.125</v>
      </c>
      <c r="AK27" s="79" t="s">
        <v>2</v>
      </c>
      <c r="AL27" s="69">
        <v>9</v>
      </c>
      <c r="AM27" s="69"/>
      <c r="AP27" s="81">
        <v>23</v>
      </c>
      <c r="AQ27" s="69" t="s">
        <v>149</v>
      </c>
      <c r="AR27" s="14" t="s">
        <v>340</v>
      </c>
      <c r="AS27" s="199" t="s">
        <v>52</v>
      </c>
      <c r="AU27" s="81">
        <v>23</v>
      </c>
      <c r="AV27" s="97" t="s">
        <v>209</v>
      </c>
      <c r="AW27" s="145" t="s">
        <v>409</v>
      </c>
      <c r="AX27" s="195" t="s">
        <v>460</v>
      </c>
    </row>
    <row r="28" spans="1:50" x14ac:dyDescent="0.3">
      <c r="A28" s="518"/>
      <c r="B28" s="521"/>
      <c r="C28" s="521"/>
      <c r="D28" s="518"/>
      <c r="E28" s="518"/>
      <c r="F28" s="537"/>
      <c r="G28" s="44" t="s">
        <v>6</v>
      </c>
      <c r="H28" s="44">
        <v>23</v>
      </c>
      <c r="I28" s="44">
        <v>34</v>
      </c>
      <c r="J28" s="40">
        <f>2^(I28-H28)</f>
        <v>2048</v>
      </c>
      <c r="K28" s="7"/>
      <c r="L28" s="40"/>
      <c r="M28" s="48"/>
      <c r="N28" s="44">
        <v>18</v>
      </c>
      <c r="O28" s="44" t="s">
        <v>204</v>
      </c>
      <c r="P28" s="190" t="s">
        <v>404</v>
      </c>
      <c r="Q28" s="44">
        <v>22.3</v>
      </c>
      <c r="R28" s="44">
        <v>34.200000000000003</v>
      </c>
      <c r="S28" s="40">
        <f>2^(R28-Q28)</f>
        <v>3821.7031333347704</v>
      </c>
      <c r="T28" s="44" t="s">
        <v>6</v>
      </c>
      <c r="U28" s="44">
        <v>26</v>
      </c>
      <c r="V28" s="44" t="s">
        <v>52</v>
      </c>
      <c r="W28" s="44">
        <f>2^(40-U28)</f>
        <v>16384</v>
      </c>
      <c r="X28" s="40">
        <v>16384</v>
      </c>
      <c r="Y28" s="44"/>
      <c r="Z28" s="10"/>
      <c r="AA28" s="10"/>
      <c r="AC28" s="14" t="s">
        <v>2</v>
      </c>
      <c r="AD28" s="69">
        <v>15287</v>
      </c>
      <c r="AE28" s="69">
        <v>4096</v>
      </c>
      <c r="AG28" s="15" t="s">
        <v>2</v>
      </c>
      <c r="AH28" s="20">
        <v>84</v>
      </c>
      <c r="AI28" s="20">
        <v>64</v>
      </c>
      <c r="AK28" s="79" t="s">
        <v>2</v>
      </c>
      <c r="AL28" s="69">
        <v>84</v>
      </c>
      <c r="AM28" s="69"/>
      <c r="AP28" s="81">
        <v>24</v>
      </c>
      <c r="AQ28" s="69" t="s">
        <v>150</v>
      </c>
      <c r="AR28" s="14" t="s">
        <v>360</v>
      </c>
      <c r="AS28" s="199" t="s">
        <v>52</v>
      </c>
      <c r="AU28" s="81">
        <v>24</v>
      </c>
      <c r="AV28" s="97" t="s">
        <v>210</v>
      </c>
      <c r="AW28" s="145" t="s">
        <v>410</v>
      </c>
      <c r="AX28" s="195" t="s">
        <v>460</v>
      </c>
    </row>
    <row r="29" spans="1:50" x14ac:dyDescent="0.3">
      <c r="A29" s="516">
        <v>23</v>
      </c>
      <c r="B29" s="516" t="s">
        <v>149</v>
      </c>
      <c r="C29" s="519" t="s">
        <v>340</v>
      </c>
      <c r="D29" s="516">
        <v>22.2</v>
      </c>
      <c r="E29" s="516">
        <v>36.1</v>
      </c>
      <c r="F29" s="536">
        <f>2^(E29-D29)</f>
        <v>15286.812533339058</v>
      </c>
      <c r="G29" s="44" t="s">
        <v>5</v>
      </c>
      <c r="H29" s="44">
        <v>28</v>
      </c>
      <c r="I29" s="44" t="s">
        <v>52</v>
      </c>
      <c r="J29" s="40">
        <f>2^(40-H29)</f>
        <v>4096</v>
      </c>
      <c r="K29" s="40">
        <v>32</v>
      </c>
      <c r="L29" s="40">
        <v>4096</v>
      </c>
      <c r="M29" s="48"/>
      <c r="N29" s="516">
        <v>19</v>
      </c>
      <c r="O29" s="516" t="s">
        <v>205</v>
      </c>
      <c r="P29" s="538" t="s">
        <v>405</v>
      </c>
      <c r="Q29" s="516">
        <v>27.6</v>
      </c>
      <c r="R29" s="516">
        <v>37.5</v>
      </c>
      <c r="S29" s="536">
        <f>2^(R29-Q29)</f>
        <v>955.42578333368988</v>
      </c>
      <c r="T29" s="44" t="s">
        <v>5</v>
      </c>
      <c r="U29" s="44">
        <v>26</v>
      </c>
      <c r="V29" s="44">
        <v>34</v>
      </c>
      <c r="W29" s="44">
        <f>2^(V29-U29)</f>
        <v>256</v>
      </c>
      <c r="X29" s="40">
        <v>8192</v>
      </c>
      <c r="Y29" s="44">
        <v>256</v>
      </c>
      <c r="Z29" s="10"/>
      <c r="AA29" s="10"/>
      <c r="AC29" s="14" t="s">
        <v>2</v>
      </c>
      <c r="AD29" s="69">
        <v>15287</v>
      </c>
      <c r="AE29" s="69">
        <v>32</v>
      </c>
      <c r="AG29" s="15" t="s">
        <v>2</v>
      </c>
      <c r="AH29" s="20">
        <v>315</v>
      </c>
      <c r="AI29" s="20">
        <v>65536</v>
      </c>
      <c r="AK29" s="79" t="s">
        <v>2</v>
      </c>
      <c r="AL29" s="69">
        <v>315</v>
      </c>
      <c r="AM29" s="69"/>
      <c r="AP29" s="81">
        <v>25</v>
      </c>
      <c r="AQ29" s="69" t="s">
        <v>168</v>
      </c>
      <c r="AR29" s="146" t="s">
        <v>361</v>
      </c>
      <c r="AS29" s="199" t="s">
        <v>52</v>
      </c>
      <c r="AU29" s="81">
        <v>25</v>
      </c>
      <c r="AV29" s="97" t="s">
        <v>211</v>
      </c>
      <c r="AW29" s="145" t="s">
        <v>411</v>
      </c>
      <c r="AX29" s="195" t="s">
        <v>460</v>
      </c>
    </row>
    <row r="30" spans="1:50" x14ac:dyDescent="0.3">
      <c r="A30" s="518"/>
      <c r="B30" s="518"/>
      <c r="C30" s="521"/>
      <c r="D30" s="518"/>
      <c r="E30" s="518"/>
      <c r="F30" s="537"/>
      <c r="G30" s="44" t="s">
        <v>6</v>
      </c>
      <c r="H30" s="44">
        <v>35</v>
      </c>
      <c r="I30" s="44" t="s">
        <v>52</v>
      </c>
      <c r="J30" s="40">
        <f>2^(40-H30)</f>
        <v>32</v>
      </c>
      <c r="L30" s="40"/>
      <c r="M30" s="48"/>
      <c r="N30" s="518"/>
      <c r="O30" s="518"/>
      <c r="P30" s="539"/>
      <c r="Q30" s="518"/>
      <c r="R30" s="518"/>
      <c r="S30" s="537"/>
      <c r="T30" s="44" t="s">
        <v>6</v>
      </c>
      <c r="U30" s="44">
        <v>25</v>
      </c>
      <c r="V30" s="44">
        <v>38</v>
      </c>
      <c r="W30" s="44">
        <f>2^(V30-U30)</f>
        <v>8192</v>
      </c>
      <c r="Y30" s="44"/>
      <c r="Z30" s="10"/>
      <c r="AA30" s="10"/>
      <c r="AC30" s="14" t="s">
        <v>2</v>
      </c>
      <c r="AD30" s="69">
        <v>9</v>
      </c>
      <c r="AE30" s="69">
        <v>0.125</v>
      </c>
      <c r="AG30" s="15" t="s">
        <v>2</v>
      </c>
      <c r="AH30" s="20">
        <v>45</v>
      </c>
      <c r="AI30" s="20">
        <v>9</v>
      </c>
      <c r="AK30" s="79" t="s">
        <v>2</v>
      </c>
      <c r="AL30" s="69">
        <v>45</v>
      </c>
      <c r="AM30" s="69"/>
      <c r="AP30" s="81">
        <v>26</v>
      </c>
      <c r="AQ30" s="69" t="s">
        <v>151</v>
      </c>
      <c r="AR30" s="14" t="s">
        <v>362</v>
      </c>
      <c r="AS30" s="199" t="s">
        <v>52</v>
      </c>
      <c r="AU30" s="81">
        <v>26</v>
      </c>
      <c r="AV30" s="97" t="s">
        <v>212</v>
      </c>
      <c r="AW30" s="145" t="s">
        <v>412</v>
      </c>
      <c r="AX30" s="195" t="s">
        <v>460</v>
      </c>
    </row>
    <row r="31" spans="1:50" x14ac:dyDescent="0.35">
      <c r="A31" s="44">
        <v>24</v>
      </c>
      <c r="B31" s="44" t="s">
        <v>150</v>
      </c>
      <c r="C31" s="54" t="s">
        <v>360</v>
      </c>
      <c r="D31" s="44">
        <v>25.3</v>
      </c>
      <c r="E31" s="44">
        <v>28.5</v>
      </c>
      <c r="F31" s="40">
        <f>2^(E31-D31)</f>
        <v>9.1895868399762737</v>
      </c>
      <c r="G31" s="44" t="s">
        <v>6</v>
      </c>
      <c r="H31" s="44">
        <v>27</v>
      </c>
      <c r="I31" s="44">
        <v>24</v>
      </c>
      <c r="J31" s="41">
        <f>2^(I31-H31)</f>
        <v>0.125</v>
      </c>
      <c r="K31" s="41">
        <v>0.125</v>
      </c>
      <c r="L31" s="41"/>
      <c r="M31" s="48"/>
      <c r="N31" s="44">
        <v>20</v>
      </c>
      <c r="O31" s="44" t="s">
        <v>206</v>
      </c>
      <c r="P31" s="190" t="s">
        <v>406</v>
      </c>
      <c r="Q31" s="44">
        <v>25.1</v>
      </c>
      <c r="R31" s="44" t="s">
        <v>52</v>
      </c>
      <c r="S31" s="40">
        <f>2^(40-Q31)</f>
        <v>30573.625066678065</v>
      </c>
      <c r="T31" s="44" t="s">
        <v>5</v>
      </c>
      <c r="U31" s="44">
        <v>28</v>
      </c>
      <c r="V31" s="44" t="s">
        <v>52</v>
      </c>
      <c r="W31" s="44">
        <f>2^(40-U31)</f>
        <v>4096</v>
      </c>
      <c r="X31" s="40"/>
      <c r="Y31" s="44">
        <v>4096</v>
      </c>
      <c r="Z31" s="10"/>
      <c r="AA31" s="10"/>
      <c r="AC31" s="14" t="s">
        <v>2</v>
      </c>
      <c r="AD31" s="69">
        <v>84</v>
      </c>
      <c r="AE31" s="69">
        <v>64</v>
      </c>
      <c r="AG31" s="15" t="s">
        <v>2</v>
      </c>
      <c r="AH31" s="20">
        <v>9</v>
      </c>
      <c r="AI31" s="20">
        <v>0.871</v>
      </c>
      <c r="AK31" s="79" t="s">
        <v>2</v>
      </c>
      <c r="AL31" s="69">
        <v>9</v>
      </c>
      <c r="AM31" s="69"/>
      <c r="AP31" s="81">
        <v>27</v>
      </c>
      <c r="AQ31" s="69" t="s">
        <v>152</v>
      </c>
      <c r="AR31" s="147" t="s">
        <v>363</v>
      </c>
      <c r="AS31" s="199" t="s">
        <v>52</v>
      </c>
      <c r="AU31" s="81">
        <v>27</v>
      </c>
      <c r="AV31" s="97" t="s">
        <v>213</v>
      </c>
      <c r="AW31" s="145" t="s">
        <v>413</v>
      </c>
      <c r="AX31" s="195" t="s">
        <v>460</v>
      </c>
    </row>
    <row r="32" spans="1:50" x14ac:dyDescent="0.35">
      <c r="A32" s="44">
        <v>25</v>
      </c>
      <c r="B32" s="44" t="s">
        <v>168</v>
      </c>
      <c r="C32" s="73" t="s">
        <v>361</v>
      </c>
      <c r="D32" s="44">
        <v>30</v>
      </c>
      <c r="E32" s="44">
        <v>36.4</v>
      </c>
      <c r="F32" s="40">
        <f>2^(E32-D32)</f>
        <v>84.448506289465129</v>
      </c>
      <c r="G32" s="44" t="s">
        <v>6</v>
      </c>
      <c r="H32" s="44">
        <v>34</v>
      </c>
      <c r="I32" s="44" t="s">
        <v>52</v>
      </c>
      <c r="J32" s="44">
        <f>2^(40-H32)</f>
        <v>64</v>
      </c>
      <c r="K32" s="40">
        <v>64</v>
      </c>
      <c r="L32" s="44"/>
      <c r="M32" s="48"/>
      <c r="N32" s="44">
        <v>21</v>
      </c>
      <c r="O32" s="44" t="s">
        <v>207</v>
      </c>
      <c r="P32" s="190" t="s">
        <v>407</v>
      </c>
      <c r="Q32" s="44">
        <v>23.4</v>
      </c>
      <c r="R32" s="44">
        <v>31.5</v>
      </c>
      <c r="S32" s="40">
        <f>2^(R32-Q32)</f>
        <v>274.37400640929127</v>
      </c>
      <c r="T32" s="44" t="s">
        <v>6</v>
      </c>
      <c r="U32" s="44">
        <v>27</v>
      </c>
      <c r="V32" s="44">
        <v>32</v>
      </c>
      <c r="W32" s="44">
        <f>2^(V32-U32)</f>
        <v>32</v>
      </c>
      <c r="X32" s="40">
        <v>32</v>
      </c>
      <c r="Y32" s="44"/>
      <c r="Z32" s="10"/>
      <c r="AA32" s="10"/>
      <c r="AC32" s="14" t="s">
        <v>2</v>
      </c>
      <c r="AD32" s="69">
        <v>315</v>
      </c>
      <c r="AE32" s="69">
        <v>65536</v>
      </c>
      <c r="AG32" s="15" t="s">
        <v>2</v>
      </c>
      <c r="AH32" s="20">
        <v>26616</v>
      </c>
      <c r="AI32" s="20">
        <v>6654</v>
      </c>
      <c r="AK32" s="79" t="s">
        <v>2</v>
      </c>
      <c r="AL32" s="69">
        <v>26616</v>
      </c>
      <c r="AM32" s="69"/>
      <c r="AP32" s="81">
        <v>28</v>
      </c>
      <c r="AQ32" s="69" t="s">
        <v>153</v>
      </c>
      <c r="AR32" s="14" t="s">
        <v>364</v>
      </c>
      <c r="AS32" s="199" t="s">
        <v>52</v>
      </c>
      <c r="AU32" s="81">
        <v>28</v>
      </c>
      <c r="AV32" s="97" t="s">
        <v>214</v>
      </c>
      <c r="AW32" s="145" t="s">
        <v>414</v>
      </c>
      <c r="AX32" s="195" t="s">
        <v>460</v>
      </c>
    </row>
    <row r="33" spans="1:50" x14ac:dyDescent="0.35">
      <c r="A33" s="44">
        <v>26</v>
      </c>
      <c r="B33" s="44" t="s">
        <v>151</v>
      </c>
      <c r="C33" s="54" t="s">
        <v>362</v>
      </c>
      <c r="D33" s="44">
        <v>29</v>
      </c>
      <c r="E33" s="44">
        <v>37.299999999999997</v>
      </c>
      <c r="F33" s="40">
        <f>2^(E33-D33)</f>
        <v>315.17296981629795</v>
      </c>
      <c r="G33" s="44" t="s">
        <v>6</v>
      </c>
      <c r="H33" s="44">
        <v>24</v>
      </c>
      <c r="I33" s="44" t="s">
        <v>52</v>
      </c>
      <c r="J33" s="40">
        <f>2^(40-H33)</f>
        <v>65536</v>
      </c>
      <c r="K33" s="40">
        <v>65536</v>
      </c>
      <c r="L33" s="40"/>
      <c r="M33" s="48"/>
      <c r="N33" s="44">
        <v>22</v>
      </c>
      <c r="O33" s="44" t="s">
        <v>208</v>
      </c>
      <c r="P33" s="190" t="s">
        <v>408</v>
      </c>
      <c r="Q33" s="44">
        <v>25.7</v>
      </c>
      <c r="R33" s="44" t="s">
        <v>52</v>
      </c>
      <c r="S33" s="40">
        <f>2^(40-Q33)</f>
        <v>20171.070068243116</v>
      </c>
      <c r="T33" s="44" t="s">
        <v>6</v>
      </c>
      <c r="U33" s="44">
        <v>27</v>
      </c>
      <c r="V33" s="44" t="s">
        <v>52</v>
      </c>
      <c r="W33" s="44">
        <f>2^(40-U33)</f>
        <v>8192</v>
      </c>
      <c r="X33" s="40">
        <v>8192</v>
      </c>
      <c r="Y33" s="44"/>
      <c r="Z33" s="10"/>
      <c r="AA33" s="10"/>
      <c r="AC33" s="14" t="s">
        <v>2</v>
      </c>
      <c r="AD33" s="69">
        <v>45</v>
      </c>
      <c r="AE33" s="69">
        <v>9</v>
      </c>
      <c r="AG33" s="15" t="s">
        <v>2</v>
      </c>
      <c r="AH33" s="20">
        <v>724</v>
      </c>
      <c r="AI33" s="20">
        <v>1</v>
      </c>
      <c r="AK33" s="79" t="s">
        <v>2</v>
      </c>
      <c r="AL33" s="69">
        <v>724</v>
      </c>
      <c r="AM33" s="69"/>
      <c r="AP33" s="81">
        <v>29</v>
      </c>
      <c r="AQ33" s="69" t="s">
        <v>154</v>
      </c>
      <c r="AR33" s="14" t="s">
        <v>365</v>
      </c>
      <c r="AS33" s="199" t="s">
        <v>52</v>
      </c>
      <c r="AU33" s="81">
        <v>29</v>
      </c>
      <c r="AV33" s="97" t="s">
        <v>215</v>
      </c>
      <c r="AW33" s="145" t="s">
        <v>415</v>
      </c>
      <c r="AX33" s="195" t="s">
        <v>460</v>
      </c>
    </row>
    <row r="34" spans="1:50" x14ac:dyDescent="0.35">
      <c r="A34" s="44">
        <v>27</v>
      </c>
      <c r="B34" s="44" t="s">
        <v>152</v>
      </c>
      <c r="C34" s="74" t="s">
        <v>363</v>
      </c>
      <c r="D34" s="44">
        <v>29.3</v>
      </c>
      <c r="E34" s="44">
        <v>34.799999999999997</v>
      </c>
      <c r="F34" s="40">
        <f>2^(E34-D34)</f>
        <v>45.254833995938924</v>
      </c>
      <c r="G34" s="44" t="s">
        <v>6</v>
      </c>
      <c r="H34" s="44">
        <v>32</v>
      </c>
      <c r="I34" s="44">
        <v>35.200000000000003</v>
      </c>
      <c r="J34" s="40">
        <f t="shared" ref="J34:J39" si="2">2^(I34-H34)</f>
        <v>9.1895868399762985</v>
      </c>
      <c r="K34" s="40">
        <v>9.1895868399762985</v>
      </c>
      <c r="L34" s="40"/>
      <c r="M34" s="48"/>
      <c r="N34" s="44">
        <v>23</v>
      </c>
      <c r="O34" s="44" t="s">
        <v>209</v>
      </c>
      <c r="P34" s="190" t="s">
        <v>409</v>
      </c>
      <c r="Q34" s="44">
        <v>22.2</v>
      </c>
      <c r="R34" s="44">
        <v>33.200000000000003</v>
      </c>
      <c r="S34" s="40">
        <f>2^(R34-Q34)</f>
        <v>2048.0000000000036</v>
      </c>
      <c r="T34" s="44" t="s">
        <v>6</v>
      </c>
      <c r="U34" s="44">
        <v>28</v>
      </c>
      <c r="V34" s="44">
        <v>31.85</v>
      </c>
      <c r="W34" s="40">
        <f>2^(V34-U34)</f>
        <v>14.420007401773296</v>
      </c>
      <c r="X34" s="40">
        <v>14.420007401773296</v>
      </c>
      <c r="Y34" s="44"/>
      <c r="Z34" s="10"/>
      <c r="AA34" s="10"/>
      <c r="AC34" s="14" t="s">
        <v>2</v>
      </c>
      <c r="AD34" s="69">
        <v>9</v>
      </c>
      <c r="AE34" s="69">
        <v>0.871</v>
      </c>
      <c r="AG34" s="15" t="s">
        <v>2</v>
      </c>
      <c r="AH34" s="20">
        <v>446</v>
      </c>
      <c r="AI34" s="20">
        <v>2048</v>
      </c>
      <c r="AK34" s="79" t="s">
        <v>2</v>
      </c>
      <c r="AL34" s="69">
        <v>446</v>
      </c>
      <c r="AM34" s="69"/>
      <c r="AP34" s="81">
        <v>30</v>
      </c>
      <c r="AQ34" s="69" t="s">
        <v>155</v>
      </c>
      <c r="AR34" s="14" t="s">
        <v>366</v>
      </c>
      <c r="AS34" s="199" t="s">
        <v>52</v>
      </c>
      <c r="AU34" s="81">
        <v>30</v>
      </c>
      <c r="AV34" s="97" t="s">
        <v>216</v>
      </c>
      <c r="AW34" s="145" t="s">
        <v>416</v>
      </c>
      <c r="AX34" s="195" t="s">
        <v>460</v>
      </c>
    </row>
    <row r="35" spans="1:50" x14ac:dyDescent="0.35">
      <c r="A35" s="44">
        <v>28</v>
      </c>
      <c r="B35" s="44" t="s">
        <v>153</v>
      </c>
      <c r="C35" s="54" t="s">
        <v>364</v>
      </c>
      <c r="D35" s="44">
        <v>29</v>
      </c>
      <c r="E35" s="44">
        <v>32.200000000000003</v>
      </c>
      <c r="F35" s="40">
        <f>2^(E35-D35)</f>
        <v>9.1895868399762985</v>
      </c>
      <c r="G35" s="44" t="s">
        <v>6</v>
      </c>
      <c r="H35" s="44">
        <v>30</v>
      </c>
      <c r="I35" s="44">
        <v>29.8</v>
      </c>
      <c r="J35" s="41">
        <f t="shared" si="2"/>
        <v>0.87055056329612457</v>
      </c>
      <c r="K35" s="41">
        <v>0.87055056329612457</v>
      </c>
      <c r="L35" s="41"/>
      <c r="M35" s="48"/>
      <c r="N35" s="44">
        <v>24</v>
      </c>
      <c r="O35" s="44" t="s">
        <v>210</v>
      </c>
      <c r="P35" s="190" t="s">
        <v>410</v>
      </c>
      <c r="Q35" s="44">
        <v>22.5</v>
      </c>
      <c r="R35" s="44" t="s">
        <v>52</v>
      </c>
      <c r="S35" s="40">
        <f>2^(40-Q35)</f>
        <v>185363.80004736609</v>
      </c>
      <c r="T35" s="44" t="s">
        <v>6</v>
      </c>
      <c r="U35" s="44">
        <v>22</v>
      </c>
      <c r="V35" s="44">
        <v>36</v>
      </c>
      <c r="W35" s="40">
        <f>2^(V35-U35)</f>
        <v>16384</v>
      </c>
      <c r="X35" s="40">
        <v>16384</v>
      </c>
      <c r="Y35" s="44"/>
      <c r="Z35" s="10"/>
      <c r="AA35" s="10"/>
      <c r="AC35" s="14" t="s">
        <v>2</v>
      </c>
      <c r="AD35" s="69">
        <v>26616</v>
      </c>
      <c r="AE35" s="69">
        <v>6654</v>
      </c>
      <c r="AG35" s="15" t="s">
        <v>2</v>
      </c>
      <c r="AH35" s="20">
        <v>4096</v>
      </c>
      <c r="AI35" s="20">
        <v>0.125</v>
      </c>
      <c r="AK35" s="79" t="s">
        <v>2</v>
      </c>
      <c r="AL35" s="69">
        <v>4096</v>
      </c>
      <c r="AM35" s="69"/>
      <c r="AP35" s="81">
        <v>31</v>
      </c>
      <c r="AQ35" s="69" t="s">
        <v>156</v>
      </c>
      <c r="AR35" s="14" t="s">
        <v>367</v>
      </c>
      <c r="AS35" s="199" t="s">
        <v>52</v>
      </c>
      <c r="AU35" s="81">
        <v>31</v>
      </c>
      <c r="AV35" s="97" t="s">
        <v>217</v>
      </c>
      <c r="AW35" s="145" t="s">
        <v>417</v>
      </c>
      <c r="AX35" s="195" t="s">
        <v>460</v>
      </c>
    </row>
    <row r="36" spans="1:50" x14ac:dyDescent="0.35">
      <c r="A36" s="44">
        <v>29</v>
      </c>
      <c r="B36" s="44" t="s">
        <v>154</v>
      </c>
      <c r="C36" s="54" t="s">
        <v>365</v>
      </c>
      <c r="D36" s="44">
        <v>25.3</v>
      </c>
      <c r="E36" s="44" t="s">
        <v>52</v>
      </c>
      <c r="F36" s="40">
        <f>2^(40-D36)</f>
        <v>26615.886523801088</v>
      </c>
      <c r="G36" s="44" t="s">
        <v>6</v>
      </c>
      <c r="H36" s="44">
        <v>25</v>
      </c>
      <c r="I36" s="44">
        <v>37.700000000000003</v>
      </c>
      <c r="J36" s="40">
        <f t="shared" si="2"/>
        <v>6653.9716309502946</v>
      </c>
      <c r="K36" s="40">
        <v>6653.9716309502946</v>
      </c>
      <c r="L36" s="40"/>
      <c r="M36" s="48"/>
      <c r="N36" s="44">
        <v>25</v>
      </c>
      <c r="O36" s="44" t="s">
        <v>211</v>
      </c>
      <c r="P36" s="190" t="s">
        <v>411</v>
      </c>
      <c r="Q36" s="44">
        <v>22.7</v>
      </c>
      <c r="R36" s="44">
        <v>30.6</v>
      </c>
      <c r="S36" s="40">
        <f>2^(R36-Q36)</f>
        <v>238.85644583342307</v>
      </c>
      <c r="T36" s="44" t="s">
        <v>6</v>
      </c>
      <c r="U36" s="44">
        <v>19</v>
      </c>
      <c r="V36" s="44">
        <v>30.8</v>
      </c>
      <c r="W36" s="40">
        <f>2^(V36-U36)</f>
        <v>3565.7751072609281</v>
      </c>
      <c r="X36" s="40">
        <v>3565.7751072609281</v>
      </c>
      <c r="Y36" s="44"/>
      <c r="Z36" s="10"/>
      <c r="AA36" s="10"/>
      <c r="AC36" s="14" t="s">
        <v>2</v>
      </c>
      <c r="AD36" s="69">
        <v>724</v>
      </c>
      <c r="AE36" s="69">
        <v>1</v>
      </c>
      <c r="AG36" s="15" t="s">
        <v>2</v>
      </c>
      <c r="AH36" s="20">
        <v>4390</v>
      </c>
      <c r="AI36" s="20"/>
      <c r="AK36" s="79" t="s">
        <v>2</v>
      </c>
      <c r="AL36" s="69">
        <v>4390</v>
      </c>
      <c r="AM36" s="69"/>
      <c r="AP36" s="81">
        <v>32</v>
      </c>
      <c r="AQ36" s="69" t="s">
        <v>157</v>
      </c>
      <c r="AR36" s="14" t="s">
        <v>368</v>
      </c>
      <c r="AS36" s="199" t="s">
        <v>52</v>
      </c>
      <c r="AU36" s="81">
        <v>32</v>
      </c>
      <c r="AV36" s="97" t="s">
        <v>218</v>
      </c>
      <c r="AW36" s="145" t="s">
        <v>418</v>
      </c>
      <c r="AX36" s="195" t="s">
        <v>460</v>
      </c>
    </row>
    <row r="37" spans="1:50" x14ac:dyDescent="0.35">
      <c r="A37" s="44">
        <v>30</v>
      </c>
      <c r="B37" s="44" t="s">
        <v>155</v>
      </c>
      <c r="C37" s="54" t="s">
        <v>366</v>
      </c>
      <c r="D37" s="44">
        <v>26.1</v>
      </c>
      <c r="E37" s="44">
        <v>35.6</v>
      </c>
      <c r="F37" s="40">
        <f>2^(E37-D37)</f>
        <v>724.0773439350246</v>
      </c>
      <c r="G37" s="44" t="s">
        <v>6</v>
      </c>
      <c r="H37" s="44">
        <v>29</v>
      </c>
      <c r="I37" s="44">
        <v>29</v>
      </c>
      <c r="J37" s="43">
        <f t="shared" si="2"/>
        <v>1</v>
      </c>
      <c r="K37" s="43">
        <v>1</v>
      </c>
      <c r="L37" s="43"/>
      <c r="M37" s="48"/>
      <c r="N37" s="44">
        <v>26</v>
      </c>
      <c r="O37" s="44" t="s">
        <v>212</v>
      </c>
      <c r="P37" s="190" t="s">
        <v>412</v>
      </c>
      <c r="Q37" s="44">
        <v>23.9</v>
      </c>
      <c r="R37" s="44">
        <v>35.9</v>
      </c>
      <c r="S37" s="40">
        <f>2^(R37-Q37)</f>
        <v>4096</v>
      </c>
      <c r="T37" s="44" t="s">
        <v>6</v>
      </c>
      <c r="U37" s="44">
        <v>29</v>
      </c>
      <c r="V37" s="44">
        <v>32.9</v>
      </c>
      <c r="W37" s="40">
        <f>2^(V37-U37)</f>
        <v>14.928527864588904</v>
      </c>
      <c r="X37" s="40">
        <v>14.928527864588904</v>
      </c>
      <c r="Y37" s="44"/>
      <c r="Z37" s="10"/>
      <c r="AA37" s="10"/>
      <c r="AC37" s="14" t="s">
        <v>2</v>
      </c>
      <c r="AD37" s="69">
        <v>446</v>
      </c>
      <c r="AE37" s="69">
        <v>2048</v>
      </c>
      <c r="AG37" s="15" t="s">
        <v>2</v>
      </c>
      <c r="AH37" s="20">
        <v>20</v>
      </c>
      <c r="AI37" s="20">
        <v>84</v>
      </c>
      <c r="AK37" s="79" t="s">
        <v>2</v>
      </c>
      <c r="AL37" s="69">
        <v>20</v>
      </c>
      <c r="AM37" s="69">
        <v>1024</v>
      </c>
      <c r="AP37" s="81">
        <v>33</v>
      </c>
      <c r="AQ37" s="69" t="s">
        <v>158</v>
      </c>
      <c r="AR37" s="14" t="s">
        <v>369</v>
      </c>
      <c r="AS37" s="199" t="s">
        <v>52</v>
      </c>
      <c r="AU37" s="81">
        <v>33</v>
      </c>
      <c r="AV37" s="97" t="s">
        <v>219</v>
      </c>
      <c r="AW37" s="145" t="s">
        <v>419</v>
      </c>
      <c r="AX37" s="195" t="s">
        <v>460</v>
      </c>
    </row>
    <row r="38" spans="1:50" x14ac:dyDescent="0.35">
      <c r="A38" s="44">
        <v>31</v>
      </c>
      <c r="B38" s="44" t="s">
        <v>156</v>
      </c>
      <c r="C38" s="54" t="s">
        <v>367</v>
      </c>
      <c r="D38" s="44">
        <v>24.5</v>
      </c>
      <c r="E38" s="44">
        <v>33.299999999999997</v>
      </c>
      <c r="F38" s="40">
        <f>2^(E38-D38)</f>
        <v>445.7218884076147</v>
      </c>
      <c r="G38" s="44" t="s">
        <v>6</v>
      </c>
      <c r="H38" s="44">
        <v>22</v>
      </c>
      <c r="I38" s="44">
        <v>33</v>
      </c>
      <c r="J38" s="40">
        <f t="shared" si="2"/>
        <v>2048</v>
      </c>
      <c r="K38" s="40">
        <v>2048</v>
      </c>
      <c r="L38" s="40"/>
      <c r="M38" s="48"/>
      <c r="N38" s="44">
        <v>27</v>
      </c>
      <c r="O38" s="44" t="s">
        <v>213</v>
      </c>
      <c r="P38" s="190" t="s">
        <v>413</v>
      </c>
      <c r="Q38" s="44">
        <v>23.6</v>
      </c>
      <c r="R38" s="44">
        <v>33.200000000000003</v>
      </c>
      <c r="S38" s="40">
        <f>2^(R38-Q38)</f>
        <v>776.04688205332445</v>
      </c>
      <c r="T38" s="44" t="s">
        <v>6</v>
      </c>
      <c r="U38" s="44">
        <v>27</v>
      </c>
      <c r="V38" s="44">
        <v>33.6</v>
      </c>
      <c r="W38" s="40">
        <f>2^(V38-U38)</f>
        <v>97.005860256665528</v>
      </c>
      <c r="X38" s="40">
        <v>97.005860256665528</v>
      </c>
      <c r="Y38" s="44"/>
      <c r="Z38" s="10"/>
      <c r="AA38" s="10"/>
      <c r="AC38" s="14" t="s">
        <v>2</v>
      </c>
      <c r="AD38" s="69">
        <v>4096</v>
      </c>
      <c r="AE38" s="69">
        <v>0.125</v>
      </c>
      <c r="AG38" s="15" t="s">
        <v>2</v>
      </c>
      <c r="AH38" s="20">
        <v>3566</v>
      </c>
      <c r="AI38" s="20"/>
      <c r="AK38" s="79" t="s">
        <v>2</v>
      </c>
      <c r="AL38" s="69">
        <v>3566</v>
      </c>
      <c r="AM38" s="69">
        <v>16</v>
      </c>
      <c r="AP38" s="81">
        <v>34</v>
      </c>
      <c r="AQ38" s="69" t="s">
        <v>175</v>
      </c>
      <c r="AR38" s="145" t="s">
        <v>370</v>
      </c>
      <c r="AS38" s="199" t="s">
        <v>52</v>
      </c>
      <c r="AU38" s="81">
        <v>34</v>
      </c>
      <c r="AV38" s="97" t="s">
        <v>220</v>
      </c>
      <c r="AW38" s="145" t="s">
        <v>420</v>
      </c>
      <c r="AX38" s="195" t="s">
        <v>460</v>
      </c>
    </row>
    <row r="39" spans="1:50" x14ac:dyDescent="0.35">
      <c r="A39" s="44">
        <v>32</v>
      </c>
      <c r="B39" s="44" t="s">
        <v>157</v>
      </c>
      <c r="C39" s="54" t="s">
        <v>368</v>
      </c>
      <c r="D39" s="44">
        <v>28</v>
      </c>
      <c r="E39" s="44" t="s">
        <v>52</v>
      </c>
      <c r="F39" s="40">
        <f>2^(40-D39)</f>
        <v>4096</v>
      </c>
      <c r="G39" s="44" t="s">
        <v>6</v>
      </c>
      <c r="H39" s="44">
        <v>30</v>
      </c>
      <c r="I39" s="44">
        <v>27</v>
      </c>
      <c r="J39" s="41">
        <f t="shared" si="2"/>
        <v>0.125</v>
      </c>
      <c r="K39" s="41">
        <v>0.125</v>
      </c>
      <c r="L39" s="41"/>
      <c r="M39" s="48"/>
      <c r="N39" s="516">
        <v>28</v>
      </c>
      <c r="O39" s="516" t="s">
        <v>214</v>
      </c>
      <c r="P39" s="538" t="s">
        <v>414</v>
      </c>
      <c r="Q39" s="516">
        <v>25.9</v>
      </c>
      <c r="R39" s="516" t="s">
        <v>52</v>
      </c>
      <c r="S39" s="536">
        <f>2^(40-Q39)</f>
        <v>17559.936410194634</v>
      </c>
      <c r="T39" s="44" t="s">
        <v>5</v>
      </c>
      <c r="U39" s="44">
        <v>27</v>
      </c>
      <c r="V39" s="44" t="s">
        <v>52</v>
      </c>
      <c r="W39" s="44">
        <f>2^(40-U39)</f>
        <v>8192</v>
      </c>
      <c r="X39" s="40">
        <v>131072</v>
      </c>
      <c r="Y39" s="44">
        <v>8192</v>
      </c>
      <c r="Z39" s="10"/>
      <c r="AA39" s="10"/>
      <c r="AC39" s="14" t="s">
        <v>2</v>
      </c>
      <c r="AD39" s="69">
        <v>4390</v>
      </c>
      <c r="AE39" s="69">
        <v>8</v>
      </c>
      <c r="AG39" s="15" t="s">
        <v>2</v>
      </c>
      <c r="AH39" s="20">
        <v>832</v>
      </c>
      <c r="AI39" s="20">
        <v>256</v>
      </c>
      <c r="AK39" s="79" t="s">
        <v>2</v>
      </c>
      <c r="AL39" s="69">
        <v>832</v>
      </c>
      <c r="AM39" s="69"/>
      <c r="AP39" s="81">
        <v>35</v>
      </c>
      <c r="AQ39" s="69" t="s">
        <v>160</v>
      </c>
      <c r="AR39" s="14" t="s">
        <v>371</v>
      </c>
      <c r="AS39" s="199" t="s">
        <v>52</v>
      </c>
      <c r="AU39" s="81">
        <v>35</v>
      </c>
      <c r="AV39" s="97" t="s">
        <v>221</v>
      </c>
      <c r="AW39" s="145" t="s">
        <v>421</v>
      </c>
      <c r="AX39" s="195" t="s">
        <v>460</v>
      </c>
    </row>
    <row r="40" spans="1:50" x14ac:dyDescent="0.35">
      <c r="A40" s="44">
        <v>33</v>
      </c>
      <c r="B40" s="44" t="s">
        <v>158</v>
      </c>
      <c r="C40" s="54" t="s">
        <v>369</v>
      </c>
      <c r="D40" s="44">
        <v>21.9</v>
      </c>
      <c r="E40" s="44">
        <v>34</v>
      </c>
      <c r="F40" s="40">
        <f>2^(E40-D40)</f>
        <v>4389.9841025486576</v>
      </c>
      <c r="G40" s="44" t="s">
        <v>159</v>
      </c>
      <c r="H40" s="44">
        <v>37</v>
      </c>
      <c r="I40" s="44" t="s">
        <v>52</v>
      </c>
      <c r="J40" s="40">
        <f>2^(40-H40)</f>
        <v>8</v>
      </c>
      <c r="K40" s="40"/>
      <c r="L40" s="40"/>
      <c r="M40" s="48"/>
      <c r="N40" s="518"/>
      <c r="O40" s="518"/>
      <c r="P40" s="539"/>
      <c r="Q40" s="518"/>
      <c r="R40" s="518"/>
      <c r="S40" s="537"/>
      <c r="T40" s="44" t="s">
        <v>6</v>
      </c>
      <c r="U40" s="44">
        <v>23</v>
      </c>
      <c r="V40" s="44" t="s">
        <v>52</v>
      </c>
      <c r="W40" s="44">
        <f>2^(40-U40)</f>
        <v>131072</v>
      </c>
      <c r="Y40" s="44"/>
      <c r="Z40" s="10"/>
      <c r="AA40" s="10"/>
      <c r="AC40" s="14" t="s">
        <v>2</v>
      </c>
      <c r="AD40" s="69">
        <v>20</v>
      </c>
      <c r="AE40" s="69">
        <v>1024</v>
      </c>
      <c r="AG40" s="15" t="s">
        <v>2</v>
      </c>
      <c r="AH40" s="20">
        <v>1</v>
      </c>
      <c r="AI40" s="20"/>
      <c r="AK40" s="79" t="s">
        <v>2</v>
      </c>
      <c r="AL40" s="69">
        <v>1</v>
      </c>
      <c r="AM40" s="69">
        <v>8</v>
      </c>
      <c r="AP40" s="81">
        <v>36</v>
      </c>
      <c r="AQ40" s="69" t="s">
        <v>161</v>
      </c>
      <c r="AR40" s="14" t="s">
        <v>372</v>
      </c>
      <c r="AS40" s="199" t="s">
        <v>52</v>
      </c>
      <c r="AU40" s="81">
        <v>36</v>
      </c>
      <c r="AV40" s="99" t="s">
        <v>222</v>
      </c>
      <c r="AW40" s="14" t="s">
        <v>422</v>
      </c>
      <c r="AX40" s="195" t="s">
        <v>460</v>
      </c>
    </row>
    <row r="41" spans="1:50" x14ac:dyDescent="0.3">
      <c r="A41" s="516">
        <v>34</v>
      </c>
      <c r="B41" s="516" t="s">
        <v>175</v>
      </c>
      <c r="C41" s="538" t="s">
        <v>370</v>
      </c>
      <c r="D41" s="516">
        <v>29.7</v>
      </c>
      <c r="E41" s="516">
        <v>34</v>
      </c>
      <c r="F41" s="536">
        <f>2^(E41-D41)</f>
        <v>19.698310613518668</v>
      </c>
      <c r="G41" s="44" t="s">
        <v>5</v>
      </c>
      <c r="H41" s="44">
        <v>30</v>
      </c>
      <c r="I41" s="44" t="s">
        <v>52</v>
      </c>
      <c r="J41" s="40">
        <v>1024</v>
      </c>
      <c r="K41" s="40">
        <v>84.448506289465129</v>
      </c>
      <c r="L41" s="44">
        <v>1024</v>
      </c>
      <c r="M41" s="48"/>
      <c r="N41" s="516">
        <v>29</v>
      </c>
      <c r="O41" s="516" t="s">
        <v>215</v>
      </c>
      <c r="P41" s="538" t="s">
        <v>415</v>
      </c>
      <c r="Q41" s="516">
        <v>25</v>
      </c>
      <c r="R41" s="516" t="s">
        <v>52</v>
      </c>
      <c r="S41" s="536">
        <f>2^(40-Q41)</f>
        <v>32768</v>
      </c>
      <c r="T41" s="44" t="s">
        <v>5</v>
      </c>
      <c r="U41" s="44">
        <v>24</v>
      </c>
      <c r="V41" s="44" t="s">
        <v>52</v>
      </c>
      <c r="W41" s="44">
        <f>2^(40-U41)</f>
        <v>65536</v>
      </c>
      <c r="X41" s="40">
        <v>891.44377681522951</v>
      </c>
      <c r="Y41" s="44">
        <v>65536</v>
      </c>
      <c r="Z41" s="10"/>
      <c r="AA41" s="10"/>
      <c r="AC41" s="14" t="s">
        <v>2</v>
      </c>
      <c r="AD41" s="69">
        <v>20</v>
      </c>
      <c r="AE41" s="69">
        <v>84</v>
      </c>
      <c r="AG41" s="15" t="s">
        <v>2</v>
      </c>
      <c r="AH41" s="20">
        <v>14</v>
      </c>
      <c r="AI41" s="20">
        <v>0.5</v>
      </c>
      <c r="AK41" s="79" t="s">
        <v>2</v>
      </c>
      <c r="AL41" s="69">
        <v>14</v>
      </c>
      <c r="AM41" s="69"/>
      <c r="AP41" s="81">
        <v>37</v>
      </c>
      <c r="AQ41" s="69" t="s">
        <v>162</v>
      </c>
      <c r="AR41" s="14" t="s">
        <v>373</v>
      </c>
      <c r="AS41" s="199" t="s">
        <v>52</v>
      </c>
      <c r="AU41" s="81">
        <v>37</v>
      </c>
      <c r="AV41" s="101" t="s">
        <v>223</v>
      </c>
      <c r="AW41" s="14" t="s">
        <v>423</v>
      </c>
      <c r="AX41" s="195" t="s">
        <v>460</v>
      </c>
    </row>
    <row r="42" spans="1:50" x14ac:dyDescent="0.3">
      <c r="A42" s="518"/>
      <c r="B42" s="518"/>
      <c r="C42" s="539"/>
      <c r="D42" s="518"/>
      <c r="E42" s="518"/>
      <c r="F42" s="537"/>
      <c r="G42" s="44" t="s">
        <v>6</v>
      </c>
      <c r="H42" s="44">
        <v>29</v>
      </c>
      <c r="I42" s="44">
        <v>35.4</v>
      </c>
      <c r="J42" s="40">
        <f>2^(I42-H42)</f>
        <v>84.448506289465129</v>
      </c>
      <c r="K42" s="40"/>
      <c r="L42" s="44"/>
      <c r="M42" s="48"/>
      <c r="N42" s="518"/>
      <c r="O42" s="518"/>
      <c r="P42" s="539"/>
      <c r="Q42" s="518"/>
      <c r="R42" s="518"/>
      <c r="S42" s="537"/>
      <c r="T42" s="44" t="s">
        <v>6</v>
      </c>
      <c r="U42" s="44">
        <v>25</v>
      </c>
      <c r="V42" s="44">
        <v>34.799999999999997</v>
      </c>
      <c r="W42" s="40">
        <f>2^(V42-U42)</f>
        <v>891.44377681522951</v>
      </c>
      <c r="Y42" s="44"/>
      <c r="Z42" s="10"/>
      <c r="AA42" s="10"/>
      <c r="AC42" s="14" t="s">
        <v>2</v>
      </c>
      <c r="AD42" s="69">
        <v>3566</v>
      </c>
      <c r="AE42" s="69">
        <v>16</v>
      </c>
      <c r="AG42" s="15" t="s">
        <v>2</v>
      </c>
      <c r="AH42" s="20">
        <v>239</v>
      </c>
      <c r="AI42" s="20"/>
      <c r="AK42" s="79" t="s">
        <v>2</v>
      </c>
      <c r="AL42" s="69">
        <v>239</v>
      </c>
      <c r="AM42" s="69"/>
      <c r="AP42" s="81">
        <v>38</v>
      </c>
      <c r="AQ42" s="69" t="s">
        <v>163</v>
      </c>
      <c r="AR42" s="14" t="s">
        <v>374</v>
      </c>
      <c r="AS42" s="199" t="s">
        <v>52</v>
      </c>
      <c r="AU42" s="81">
        <v>38</v>
      </c>
      <c r="AV42" s="97" t="s">
        <v>224</v>
      </c>
      <c r="AW42" s="148" t="s">
        <v>424</v>
      </c>
      <c r="AX42" s="195" t="s">
        <v>460</v>
      </c>
    </row>
    <row r="43" spans="1:50" x14ac:dyDescent="0.3">
      <c r="A43" s="516">
        <v>35</v>
      </c>
      <c r="B43" s="516" t="s">
        <v>160</v>
      </c>
      <c r="C43" s="519" t="s">
        <v>371</v>
      </c>
      <c r="D43" s="516">
        <v>21.3</v>
      </c>
      <c r="E43" s="516">
        <v>33.1</v>
      </c>
      <c r="F43" s="536">
        <f>2^(E43-D43)</f>
        <v>3565.7751072609281</v>
      </c>
      <c r="G43" s="44" t="s">
        <v>5</v>
      </c>
      <c r="H43" s="44">
        <v>27</v>
      </c>
      <c r="I43" s="44">
        <v>31</v>
      </c>
      <c r="J43" s="40">
        <f>2^(I43-H43)</f>
        <v>16</v>
      </c>
      <c r="K43" s="40"/>
      <c r="L43" s="40">
        <v>16</v>
      </c>
      <c r="M43" s="48"/>
      <c r="N43" s="44">
        <v>30</v>
      </c>
      <c r="O43" s="44" t="s">
        <v>216</v>
      </c>
      <c r="P43" s="190" t="s">
        <v>416</v>
      </c>
      <c r="Q43" s="44">
        <v>26.9</v>
      </c>
      <c r="R43" s="44" t="s">
        <v>52</v>
      </c>
      <c r="S43" s="40">
        <f>2^(40-Q43)</f>
        <v>8779.9682050973151</v>
      </c>
      <c r="T43" s="44" t="s">
        <v>6</v>
      </c>
      <c r="U43" s="44">
        <v>33</v>
      </c>
      <c r="V43" s="44" t="s">
        <v>52</v>
      </c>
      <c r="W43" s="44">
        <f>2^(40-U43)</f>
        <v>128</v>
      </c>
      <c r="X43" s="40">
        <v>128</v>
      </c>
      <c r="Y43" s="44"/>
      <c r="Z43" s="10"/>
      <c r="AA43" s="10"/>
      <c r="AC43" s="14" t="s">
        <v>2</v>
      </c>
      <c r="AD43" s="69">
        <v>3566</v>
      </c>
      <c r="AE43" s="69">
        <v>8</v>
      </c>
      <c r="AG43" s="15" t="s">
        <v>2</v>
      </c>
      <c r="AH43" s="20">
        <v>274</v>
      </c>
      <c r="AI43" s="20"/>
      <c r="AK43" s="79" t="s">
        <v>2</v>
      </c>
      <c r="AL43" s="69">
        <v>274</v>
      </c>
      <c r="AM43" s="69">
        <v>5.8000000000000003E-2</v>
      </c>
      <c r="AP43" s="81">
        <v>39</v>
      </c>
      <c r="AQ43" s="69" t="s">
        <v>164</v>
      </c>
      <c r="AR43" s="14" t="s">
        <v>375</v>
      </c>
      <c r="AS43" s="199" t="s">
        <v>52</v>
      </c>
      <c r="AU43" s="81">
        <v>39</v>
      </c>
      <c r="AV43" s="97" t="s">
        <v>225</v>
      </c>
      <c r="AW43" s="149" t="s">
        <v>425</v>
      </c>
      <c r="AX43" s="195" t="s">
        <v>460</v>
      </c>
    </row>
    <row r="44" spans="1:50" x14ac:dyDescent="0.3">
      <c r="A44" s="518"/>
      <c r="B44" s="518"/>
      <c r="C44" s="521"/>
      <c r="D44" s="518"/>
      <c r="E44" s="518"/>
      <c r="F44" s="537"/>
      <c r="G44" s="44" t="s">
        <v>159</v>
      </c>
      <c r="H44" s="44">
        <v>37</v>
      </c>
      <c r="I44" s="44" t="s">
        <v>52</v>
      </c>
      <c r="J44" s="40">
        <f>2^(40-H44)</f>
        <v>8</v>
      </c>
      <c r="K44" s="40"/>
      <c r="L44" s="40"/>
      <c r="M44" s="48"/>
      <c r="N44" s="516">
        <v>31</v>
      </c>
      <c r="O44" s="516" t="s">
        <v>217</v>
      </c>
      <c r="P44" s="538" t="s">
        <v>417</v>
      </c>
      <c r="Q44" s="516">
        <v>28.05</v>
      </c>
      <c r="R44" s="516" t="s">
        <v>52</v>
      </c>
      <c r="S44" s="536">
        <f>2^(40-Q44)</f>
        <v>3956.4752032761626</v>
      </c>
      <c r="T44" s="44" t="s">
        <v>5</v>
      </c>
      <c r="U44" s="44">
        <v>24</v>
      </c>
      <c r="V44" s="44" t="s">
        <v>52</v>
      </c>
      <c r="W44" s="44">
        <f>2^(40-U44)</f>
        <v>65536</v>
      </c>
      <c r="X44" s="40">
        <v>1048576</v>
      </c>
      <c r="Y44" s="44">
        <v>65536</v>
      </c>
      <c r="Z44" s="10"/>
      <c r="AA44" s="10"/>
      <c r="AC44" s="14" t="s">
        <v>2</v>
      </c>
      <c r="AD44" s="69">
        <v>832</v>
      </c>
      <c r="AE44" s="69">
        <v>256</v>
      </c>
      <c r="AG44" s="15" t="s">
        <v>2</v>
      </c>
      <c r="AH44" s="20">
        <v>128</v>
      </c>
      <c r="AI44" s="20">
        <v>1024</v>
      </c>
      <c r="AK44" s="79" t="s">
        <v>2</v>
      </c>
      <c r="AL44" s="69">
        <v>128</v>
      </c>
      <c r="AM44" s="69">
        <v>0.25</v>
      </c>
      <c r="AP44" s="81">
        <v>40</v>
      </c>
      <c r="AQ44" s="69" t="s">
        <v>165</v>
      </c>
      <c r="AR44" s="14" t="s">
        <v>376</v>
      </c>
      <c r="AS44" s="199" t="s">
        <v>52</v>
      </c>
      <c r="AU44" s="81">
        <v>40</v>
      </c>
      <c r="AV44" s="97" t="s">
        <v>226</v>
      </c>
      <c r="AW44" s="148" t="s">
        <v>426</v>
      </c>
      <c r="AX44" s="195" t="s">
        <v>460</v>
      </c>
    </row>
    <row r="45" spans="1:50" x14ac:dyDescent="0.3">
      <c r="A45" s="516">
        <v>36</v>
      </c>
      <c r="B45" s="516" t="s">
        <v>161</v>
      </c>
      <c r="C45" s="519" t="s">
        <v>372</v>
      </c>
      <c r="D45" s="516">
        <v>24</v>
      </c>
      <c r="E45" s="516">
        <v>33.700000000000003</v>
      </c>
      <c r="F45" s="536">
        <f>2^(E45-D45)</f>
        <v>831.7464538687866</v>
      </c>
      <c r="G45" s="44" t="s">
        <v>6</v>
      </c>
      <c r="H45" s="44">
        <v>23</v>
      </c>
      <c r="I45" s="44">
        <v>31</v>
      </c>
      <c r="J45" s="40">
        <f>2^(I45-H45)</f>
        <v>256</v>
      </c>
      <c r="K45" s="40">
        <v>256</v>
      </c>
      <c r="L45" s="40"/>
      <c r="M45" s="48"/>
      <c r="N45" s="518"/>
      <c r="O45" s="518"/>
      <c r="P45" s="539"/>
      <c r="Q45" s="518"/>
      <c r="R45" s="518"/>
      <c r="S45" s="537"/>
      <c r="T45" s="44" t="s">
        <v>6</v>
      </c>
      <c r="U45" s="44">
        <v>20</v>
      </c>
      <c r="V45" s="44" t="s">
        <v>52</v>
      </c>
      <c r="W45" s="44">
        <f>2^(40-U45)</f>
        <v>1048576</v>
      </c>
      <c r="Y45" s="44"/>
      <c r="Z45" s="10"/>
      <c r="AA45" s="10"/>
      <c r="AC45" s="14" t="s">
        <v>2</v>
      </c>
      <c r="AD45" s="69">
        <v>832</v>
      </c>
      <c r="AE45" s="69">
        <v>8</v>
      </c>
      <c r="AG45" s="15" t="s">
        <v>2</v>
      </c>
      <c r="AH45" s="20">
        <v>294</v>
      </c>
      <c r="AI45" s="20">
        <v>16</v>
      </c>
      <c r="AK45" s="79" t="s">
        <v>2</v>
      </c>
      <c r="AL45" s="69">
        <v>294</v>
      </c>
      <c r="AM45" s="69">
        <v>1024</v>
      </c>
      <c r="AP45" s="81">
        <v>41</v>
      </c>
      <c r="AQ45" s="69" t="s">
        <v>166</v>
      </c>
      <c r="AR45" s="14" t="s">
        <v>377</v>
      </c>
      <c r="AS45" s="199" t="s">
        <v>52</v>
      </c>
      <c r="AU45" s="81">
        <v>41</v>
      </c>
      <c r="AV45" s="97" t="s">
        <v>227</v>
      </c>
      <c r="AW45" s="149" t="s">
        <v>427</v>
      </c>
      <c r="AX45" s="195" t="s">
        <v>460</v>
      </c>
    </row>
    <row r="46" spans="1:50" x14ac:dyDescent="0.3">
      <c r="A46" s="518"/>
      <c r="B46" s="518"/>
      <c r="C46" s="521"/>
      <c r="D46" s="518"/>
      <c r="E46" s="518"/>
      <c r="F46" s="537"/>
      <c r="G46" s="44" t="s">
        <v>263</v>
      </c>
      <c r="H46" s="44">
        <v>37</v>
      </c>
      <c r="I46" s="44" t="s">
        <v>52</v>
      </c>
      <c r="J46" s="40">
        <f>2^(40-H46)</f>
        <v>8</v>
      </c>
      <c r="K46" s="40"/>
      <c r="L46" s="40"/>
      <c r="M46" s="48"/>
      <c r="N46" s="44">
        <v>32</v>
      </c>
      <c r="O46" s="44" t="s">
        <v>218</v>
      </c>
      <c r="P46" s="190" t="s">
        <v>418</v>
      </c>
      <c r="Q46" s="44">
        <v>23.5</v>
      </c>
      <c r="R46" s="44">
        <v>30.5</v>
      </c>
      <c r="S46" s="40">
        <f>2^(R46-Q46)</f>
        <v>128</v>
      </c>
      <c r="T46" s="44" t="s">
        <v>6</v>
      </c>
      <c r="U46" s="44">
        <v>27.4</v>
      </c>
      <c r="V46" s="44" t="s">
        <v>52</v>
      </c>
      <c r="W46" s="40">
        <f>2^(40-U46)</f>
        <v>6208.3750564265974</v>
      </c>
      <c r="X46" s="40">
        <v>6208.3750564265974</v>
      </c>
      <c r="Y46" s="44"/>
      <c r="Z46" s="10"/>
      <c r="AA46" s="10"/>
      <c r="AC46" s="14" t="s">
        <v>2</v>
      </c>
      <c r="AD46" s="69">
        <v>1</v>
      </c>
      <c r="AE46" s="69">
        <v>8</v>
      </c>
      <c r="AG46" s="15" t="s">
        <v>2</v>
      </c>
      <c r="AH46" s="20">
        <v>6654</v>
      </c>
      <c r="AI46" s="20">
        <v>64</v>
      </c>
      <c r="AK46" s="79" t="s">
        <v>2</v>
      </c>
      <c r="AL46" s="69">
        <v>6654</v>
      </c>
      <c r="AM46" s="69"/>
      <c r="AP46" s="81">
        <v>42</v>
      </c>
      <c r="AQ46" s="69" t="s">
        <v>167</v>
      </c>
      <c r="AR46" s="14" t="s">
        <v>378</v>
      </c>
      <c r="AS46" s="199" t="s">
        <v>52</v>
      </c>
      <c r="AU46" s="81">
        <v>42</v>
      </c>
      <c r="AV46" s="97" t="s">
        <v>228</v>
      </c>
      <c r="AW46" s="149" t="s">
        <v>428</v>
      </c>
      <c r="AX46" s="195" t="s">
        <v>460</v>
      </c>
    </row>
    <row r="47" spans="1:50" x14ac:dyDescent="0.35">
      <c r="A47" s="44">
        <v>37</v>
      </c>
      <c r="B47" s="44" t="s">
        <v>162</v>
      </c>
      <c r="C47" s="54" t="s">
        <v>373</v>
      </c>
      <c r="D47" s="44">
        <v>23.8</v>
      </c>
      <c r="E47" s="44">
        <v>24.3</v>
      </c>
      <c r="F47" s="40">
        <f>2^(E47-D47)</f>
        <v>1.4142135623730951</v>
      </c>
      <c r="G47" s="44" t="s">
        <v>5</v>
      </c>
      <c r="H47" s="44">
        <v>26</v>
      </c>
      <c r="I47" s="44">
        <v>29</v>
      </c>
      <c r="J47" s="40">
        <f>2^(I47-H47)</f>
        <v>8</v>
      </c>
      <c r="K47" s="40"/>
      <c r="L47" s="40">
        <v>8</v>
      </c>
      <c r="M47" s="48"/>
      <c r="N47" s="516">
        <v>33</v>
      </c>
      <c r="O47" s="516" t="s">
        <v>219</v>
      </c>
      <c r="P47" s="538" t="s">
        <v>419</v>
      </c>
      <c r="Q47" s="516">
        <v>28.6</v>
      </c>
      <c r="R47" s="516">
        <v>32.299999999999997</v>
      </c>
      <c r="S47" s="536">
        <f>2^(R47-Q47)</f>
        <v>12.996038341699727</v>
      </c>
      <c r="T47" s="44" t="s">
        <v>5</v>
      </c>
      <c r="U47" s="44">
        <v>24</v>
      </c>
      <c r="V47" s="44" t="s">
        <v>52</v>
      </c>
      <c r="W47" s="40">
        <f>2^(40-U47)</f>
        <v>65536</v>
      </c>
      <c r="X47" s="40">
        <v>2048</v>
      </c>
      <c r="Y47" s="44">
        <v>65536</v>
      </c>
      <c r="Z47" s="10"/>
      <c r="AA47" s="10"/>
      <c r="AC47" s="14" t="s">
        <v>2</v>
      </c>
      <c r="AD47" s="69">
        <v>14</v>
      </c>
      <c r="AE47" s="69">
        <v>0.5</v>
      </c>
      <c r="AG47" s="15" t="s">
        <v>2</v>
      </c>
      <c r="AH47" s="20">
        <v>127</v>
      </c>
      <c r="AI47" s="20">
        <v>1552</v>
      </c>
      <c r="AK47" s="79" t="s">
        <v>2</v>
      </c>
      <c r="AL47" s="69">
        <v>127</v>
      </c>
      <c r="AM47" s="69"/>
      <c r="AP47" s="81">
        <v>43</v>
      </c>
      <c r="AQ47" s="69" t="s">
        <v>169</v>
      </c>
      <c r="AR47" s="14" t="s">
        <v>379</v>
      </c>
      <c r="AS47" s="199" t="s">
        <v>52</v>
      </c>
      <c r="AU47" s="81">
        <v>43</v>
      </c>
      <c r="AV47" s="97" t="s">
        <v>229</v>
      </c>
      <c r="AW47" s="151" t="s">
        <v>429</v>
      </c>
      <c r="AX47" s="195" t="s">
        <v>460</v>
      </c>
    </row>
    <row r="48" spans="1:50" x14ac:dyDescent="0.35">
      <c r="A48" s="44">
        <v>38</v>
      </c>
      <c r="B48" s="44" t="s">
        <v>163</v>
      </c>
      <c r="C48" s="54" t="s">
        <v>374</v>
      </c>
      <c r="D48" s="44">
        <v>28.8</v>
      </c>
      <c r="E48" s="44">
        <v>32.6</v>
      </c>
      <c r="F48" s="40">
        <f>2^(E48-D48)</f>
        <v>13.928809012737991</v>
      </c>
      <c r="G48" s="44" t="s">
        <v>6</v>
      </c>
      <c r="H48" s="44">
        <v>30</v>
      </c>
      <c r="I48" s="44">
        <v>29</v>
      </c>
      <c r="J48" s="41">
        <f>2^(I48-H48)</f>
        <v>0.5</v>
      </c>
      <c r="K48" s="41">
        <v>0.5</v>
      </c>
      <c r="L48" s="41"/>
      <c r="M48" s="48"/>
      <c r="N48" s="518"/>
      <c r="O48" s="518"/>
      <c r="P48" s="539"/>
      <c r="Q48" s="518"/>
      <c r="R48" s="518"/>
      <c r="S48" s="537"/>
      <c r="T48" s="44" t="s">
        <v>6</v>
      </c>
      <c r="U48" s="44">
        <v>20</v>
      </c>
      <c r="V48" s="44">
        <v>31</v>
      </c>
      <c r="W48" s="40">
        <f>2^(V48-U48)</f>
        <v>2048</v>
      </c>
      <c r="Y48" s="44"/>
      <c r="Z48" s="10"/>
      <c r="AA48" s="10"/>
      <c r="AC48" s="14" t="s">
        <v>2</v>
      </c>
      <c r="AD48" s="69">
        <v>239</v>
      </c>
      <c r="AE48" s="69">
        <v>4096</v>
      </c>
      <c r="AG48" s="15" t="s">
        <v>2</v>
      </c>
      <c r="AH48" s="20">
        <v>18</v>
      </c>
      <c r="AI48" s="20"/>
      <c r="AK48" s="79" t="s">
        <v>2</v>
      </c>
      <c r="AL48" s="69">
        <v>18</v>
      </c>
      <c r="AM48" s="69">
        <v>262144</v>
      </c>
      <c r="AP48" s="81">
        <v>44</v>
      </c>
      <c r="AQ48" s="69" t="s">
        <v>170</v>
      </c>
      <c r="AR48" s="14" t="s">
        <v>380</v>
      </c>
      <c r="AS48" s="199" t="s">
        <v>52</v>
      </c>
      <c r="AU48" s="81">
        <v>44</v>
      </c>
      <c r="AV48" s="97" t="s">
        <v>230</v>
      </c>
      <c r="AW48" s="15" t="s">
        <v>430</v>
      </c>
      <c r="AX48" s="195" t="s">
        <v>460</v>
      </c>
    </row>
    <row r="49" spans="1:50" x14ac:dyDescent="0.35">
      <c r="A49" s="44">
        <v>39</v>
      </c>
      <c r="B49" s="44" t="s">
        <v>164</v>
      </c>
      <c r="C49" s="54" t="s">
        <v>375</v>
      </c>
      <c r="D49" s="44">
        <v>27.2</v>
      </c>
      <c r="E49" s="44">
        <v>35.1</v>
      </c>
      <c r="F49" s="40">
        <f>2^(E49-D49)</f>
        <v>238.85644583342307</v>
      </c>
      <c r="G49" s="44" t="s">
        <v>159</v>
      </c>
      <c r="H49" s="44">
        <v>28</v>
      </c>
      <c r="I49" s="44" t="s">
        <v>52</v>
      </c>
      <c r="J49" s="40">
        <f>2^(40-H49)</f>
        <v>4096</v>
      </c>
      <c r="K49" s="40"/>
      <c r="L49" s="40"/>
      <c r="M49" s="48"/>
      <c r="N49" s="516">
        <v>34</v>
      </c>
      <c r="O49" s="516" t="s">
        <v>220</v>
      </c>
      <c r="P49" s="538" t="s">
        <v>438</v>
      </c>
      <c r="Q49" s="516">
        <v>27.3</v>
      </c>
      <c r="R49" s="516" t="s">
        <v>52</v>
      </c>
      <c r="S49" s="536">
        <f>2^(40-Q49)</f>
        <v>6653.971630950271</v>
      </c>
      <c r="T49" s="44" t="s">
        <v>5</v>
      </c>
      <c r="U49" s="44">
        <v>23</v>
      </c>
      <c r="V49" s="44" t="s">
        <v>52</v>
      </c>
      <c r="W49" s="40">
        <f>2^(40-U49)</f>
        <v>131072</v>
      </c>
      <c r="X49" s="40">
        <v>262144</v>
      </c>
      <c r="Y49" s="44">
        <v>131072</v>
      </c>
      <c r="Z49" s="10"/>
      <c r="AA49" s="10"/>
      <c r="AC49" s="14" t="s">
        <v>2</v>
      </c>
      <c r="AD49" s="69">
        <v>274</v>
      </c>
      <c r="AE49" s="69">
        <v>5.8000000000000003E-2</v>
      </c>
      <c r="AG49" s="15" t="s">
        <v>2</v>
      </c>
      <c r="AH49" s="20">
        <v>1176</v>
      </c>
      <c r="AI49" s="20">
        <v>5405</v>
      </c>
      <c r="AK49" s="79" t="s">
        <v>2</v>
      </c>
      <c r="AL49" s="69">
        <v>1176</v>
      </c>
      <c r="AM49" s="69">
        <v>1552</v>
      </c>
      <c r="AP49" s="81">
        <v>45</v>
      </c>
      <c r="AQ49" s="69" t="s">
        <v>171</v>
      </c>
      <c r="AR49" s="94" t="s">
        <v>381</v>
      </c>
      <c r="AS49" s="199" t="s">
        <v>52</v>
      </c>
      <c r="AU49" s="81">
        <v>45</v>
      </c>
      <c r="AV49" s="97" t="s">
        <v>231</v>
      </c>
      <c r="AW49" s="15" t="s">
        <v>431</v>
      </c>
      <c r="AX49" s="195" t="s">
        <v>460</v>
      </c>
    </row>
    <row r="50" spans="1:50" x14ac:dyDescent="0.35">
      <c r="A50" s="44">
        <v>40</v>
      </c>
      <c r="B50" s="44" t="s">
        <v>165</v>
      </c>
      <c r="C50" s="54" t="s">
        <v>376</v>
      </c>
      <c r="D50" s="44">
        <v>22.1</v>
      </c>
      <c r="E50" s="44">
        <v>30.2</v>
      </c>
      <c r="F50" s="40">
        <f>2^(E50-D50)</f>
        <v>274.37400640929053</v>
      </c>
      <c r="G50" s="44" t="s">
        <v>5</v>
      </c>
      <c r="H50" s="44">
        <v>27.1</v>
      </c>
      <c r="I50" s="44">
        <v>23</v>
      </c>
      <c r="J50" s="41">
        <f>2^(I50-H50)</f>
        <v>5.8314561971050415E-2</v>
      </c>
      <c r="K50" s="41"/>
      <c r="L50" s="41">
        <v>5.8314561971050415E-2</v>
      </c>
      <c r="M50" s="48"/>
      <c r="N50" s="518"/>
      <c r="O50" s="518"/>
      <c r="P50" s="539"/>
      <c r="Q50" s="518"/>
      <c r="R50" s="518"/>
      <c r="S50" s="537"/>
      <c r="T50" s="44" t="s">
        <v>6</v>
      </c>
      <c r="U50" s="44">
        <v>22</v>
      </c>
      <c r="V50" s="44" t="s">
        <v>52</v>
      </c>
      <c r="W50" s="40">
        <f>2^(40-U50)</f>
        <v>262144</v>
      </c>
      <c r="Y50" s="44"/>
      <c r="Z50" s="10"/>
      <c r="AA50" s="10"/>
      <c r="AC50" s="14" t="s">
        <v>2</v>
      </c>
      <c r="AD50" s="69">
        <v>128</v>
      </c>
      <c r="AE50" s="69">
        <v>0.25</v>
      </c>
      <c r="AG50" s="15" t="s">
        <v>2</v>
      </c>
      <c r="AH50" s="20">
        <v>239</v>
      </c>
      <c r="AI50" s="20">
        <v>32</v>
      </c>
      <c r="AK50" s="79" t="s">
        <v>2</v>
      </c>
      <c r="AL50" s="69">
        <v>239</v>
      </c>
      <c r="AM50" s="69">
        <v>512</v>
      </c>
      <c r="AP50" s="81">
        <v>46</v>
      </c>
      <c r="AQ50" s="69" t="s">
        <v>172</v>
      </c>
      <c r="AR50" s="94" t="s">
        <v>382</v>
      </c>
      <c r="AS50" s="199" t="s">
        <v>52</v>
      </c>
      <c r="AU50" s="81">
        <v>46</v>
      </c>
      <c r="AV50" s="97" t="s">
        <v>232</v>
      </c>
      <c r="AW50" s="15" t="s">
        <v>432</v>
      </c>
      <c r="AX50" s="195" t="s">
        <v>460</v>
      </c>
    </row>
    <row r="51" spans="1:50" x14ac:dyDescent="0.3">
      <c r="A51" s="516">
        <v>41</v>
      </c>
      <c r="B51" s="516" t="s">
        <v>166</v>
      </c>
      <c r="C51" s="519" t="s">
        <v>377</v>
      </c>
      <c r="D51" s="516">
        <v>22.1</v>
      </c>
      <c r="E51" s="516">
        <v>29.1</v>
      </c>
      <c r="F51" s="536">
        <f>2^(E51-D51)</f>
        <v>128</v>
      </c>
      <c r="G51" s="44" t="s">
        <v>5</v>
      </c>
      <c r="H51" s="44">
        <v>25</v>
      </c>
      <c r="I51" s="44">
        <v>23</v>
      </c>
      <c r="J51" s="41">
        <f>2^(I51-H51)</f>
        <v>0.25</v>
      </c>
      <c r="K51" s="40">
        <v>1024</v>
      </c>
      <c r="L51" s="41">
        <v>0.25</v>
      </c>
      <c r="M51" s="48"/>
      <c r="N51" s="44">
        <v>35</v>
      </c>
      <c r="O51" s="44" t="s">
        <v>221</v>
      </c>
      <c r="P51" s="190" t="s">
        <v>421</v>
      </c>
      <c r="Q51" s="44">
        <v>24.3</v>
      </c>
      <c r="R51" s="44">
        <v>26.9</v>
      </c>
      <c r="S51" s="40">
        <f>2^(R51-Q51)</f>
        <v>6.0628662660415831</v>
      </c>
      <c r="T51" s="44" t="s">
        <v>6</v>
      </c>
      <c r="U51" s="44">
        <v>22</v>
      </c>
      <c r="V51" s="44">
        <v>32.799999999999997</v>
      </c>
      <c r="W51" s="40">
        <f>2^(V51-U51)</f>
        <v>1782.8875536304577</v>
      </c>
      <c r="X51" s="40">
        <v>1782.8875536304577</v>
      </c>
      <c r="Y51" s="44"/>
      <c r="Z51" s="10"/>
      <c r="AA51" s="10"/>
      <c r="AC51" s="14" t="s">
        <v>2</v>
      </c>
      <c r="AD51" s="69">
        <v>128</v>
      </c>
      <c r="AE51" s="69">
        <v>1024</v>
      </c>
      <c r="AG51" s="15" t="s">
        <v>2</v>
      </c>
      <c r="AH51" s="20">
        <v>104</v>
      </c>
      <c r="AI51" s="20">
        <v>104</v>
      </c>
      <c r="AK51" s="79" t="s">
        <v>2</v>
      </c>
      <c r="AL51" s="69">
        <v>104</v>
      </c>
      <c r="AM51" s="69"/>
      <c r="AP51" s="81">
        <v>47</v>
      </c>
      <c r="AQ51" s="69" t="s">
        <v>176</v>
      </c>
      <c r="AR51" s="151" t="s">
        <v>383</v>
      </c>
      <c r="AS51" s="199" t="s">
        <v>52</v>
      </c>
      <c r="AU51" s="81">
        <v>47</v>
      </c>
      <c r="AV51" s="97" t="s">
        <v>233</v>
      </c>
      <c r="AW51" s="14" t="s">
        <v>433</v>
      </c>
      <c r="AX51" s="195" t="s">
        <v>460</v>
      </c>
    </row>
    <row r="52" spans="1:50" x14ac:dyDescent="0.3">
      <c r="A52" s="518"/>
      <c r="B52" s="518"/>
      <c r="C52" s="521"/>
      <c r="D52" s="518"/>
      <c r="E52" s="518"/>
      <c r="F52" s="537"/>
      <c r="G52" s="44" t="s">
        <v>6</v>
      </c>
      <c r="H52" s="44">
        <v>23</v>
      </c>
      <c r="I52" s="44">
        <v>33</v>
      </c>
      <c r="J52" s="40">
        <f>2^(I52-H52)</f>
        <v>1024</v>
      </c>
      <c r="L52" s="40"/>
      <c r="M52" s="48"/>
      <c r="N52" s="44">
        <v>36</v>
      </c>
      <c r="O52" s="44" t="s">
        <v>222</v>
      </c>
      <c r="P52" s="75" t="s">
        <v>422</v>
      </c>
      <c r="Q52" s="44">
        <v>18</v>
      </c>
      <c r="R52" s="44" t="s">
        <v>52</v>
      </c>
      <c r="S52" s="40">
        <f>2^(40-Q52)</f>
        <v>4194304</v>
      </c>
      <c r="T52" s="44" t="s">
        <v>5</v>
      </c>
      <c r="U52" s="44">
        <v>24</v>
      </c>
      <c r="V52" s="44" t="s">
        <v>52</v>
      </c>
      <c r="W52" s="40">
        <f>2^(40-U52)</f>
        <v>65536</v>
      </c>
      <c r="X52" s="44"/>
      <c r="Y52" s="44">
        <v>65536</v>
      </c>
      <c r="Z52" s="10"/>
      <c r="AA52" s="10"/>
      <c r="AC52" s="14" t="s">
        <v>2</v>
      </c>
      <c r="AD52" s="69">
        <v>294</v>
      </c>
      <c r="AE52" s="69">
        <v>1024</v>
      </c>
      <c r="AG52" s="15" t="s">
        <v>2</v>
      </c>
      <c r="AH52" s="20">
        <v>20</v>
      </c>
      <c r="AI52" s="20"/>
      <c r="AK52" s="79" t="s">
        <v>2</v>
      </c>
      <c r="AL52" s="69">
        <v>20</v>
      </c>
      <c r="AM52" s="69">
        <v>0.3</v>
      </c>
      <c r="AP52" s="81">
        <v>48</v>
      </c>
      <c r="AQ52" s="69" t="s">
        <v>179</v>
      </c>
      <c r="AR52" s="15" t="s">
        <v>384</v>
      </c>
      <c r="AS52" s="199" t="s">
        <v>52</v>
      </c>
      <c r="AU52" s="81">
        <v>48</v>
      </c>
      <c r="AV52" s="97" t="s">
        <v>234</v>
      </c>
      <c r="AW52" s="14" t="s">
        <v>434</v>
      </c>
      <c r="AX52" s="195" t="s">
        <v>460</v>
      </c>
    </row>
    <row r="53" spans="1:50" x14ac:dyDescent="0.3">
      <c r="A53" s="516">
        <v>42</v>
      </c>
      <c r="B53" s="516" t="s">
        <v>167</v>
      </c>
      <c r="C53" s="519" t="s">
        <v>378</v>
      </c>
      <c r="D53" s="516">
        <v>22</v>
      </c>
      <c r="E53" s="44">
        <v>30.2</v>
      </c>
      <c r="F53" s="40">
        <f>2^(E53-D53)</f>
        <v>294.06677887924064</v>
      </c>
      <c r="G53" s="44" t="s">
        <v>5</v>
      </c>
      <c r="H53" s="44">
        <v>30</v>
      </c>
      <c r="I53" s="44" t="s">
        <v>52</v>
      </c>
      <c r="J53" s="40">
        <f>2^(40-H53)</f>
        <v>1024</v>
      </c>
      <c r="K53" s="40">
        <v>16</v>
      </c>
      <c r="L53" s="40">
        <v>1024</v>
      </c>
      <c r="M53" s="1"/>
      <c r="N53" s="44">
        <v>37</v>
      </c>
      <c r="O53" s="44" t="s">
        <v>223</v>
      </c>
      <c r="P53" s="75" t="s">
        <v>423</v>
      </c>
      <c r="Q53" s="44">
        <v>20</v>
      </c>
      <c r="R53" s="44">
        <v>35.6</v>
      </c>
      <c r="S53" s="40">
        <f>2^(R53-Q53)</f>
        <v>49667.000451412794</v>
      </c>
      <c r="T53" s="44" t="s">
        <v>5</v>
      </c>
      <c r="U53" s="44">
        <v>22</v>
      </c>
      <c r="V53" s="44" t="s">
        <v>52</v>
      </c>
      <c r="W53" s="40">
        <f>2^(40-U53)</f>
        <v>262144</v>
      </c>
      <c r="X53" s="44"/>
      <c r="Y53" s="44">
        <v>262144</v>
      </c>
      <c r="Z53" s="10"/>
      <c r="AA53" s="10"/>
      <c r="AC53" s="14" t="s">
        <v>2</v>
      </c>
      <c r="AD53" s="69">
        <v>294</v>
      </c>
      <c r="AE53" s="69">
        <v>16</v>
      </c>
      <c r="AG53" s="15" t="s">
        <v>2</v>
      </c>
      <c r="AH53" s="20">
        <v>18</v>
      </c>
      <c r="AI53" s="20">
        <v>64</v>
      </c>
      <c r="AK53" s="79" t="s">
        <v>2</v>
      </c>
      <c r="AL53" s="69">
        <v>18</v>
      </c>
      <c r="AM53" s="69"/>
      <c r="AP53" s="82">
        <v>49</v>
      </c>
      <c r="AQ53" s="57" t="s">
        <v>177</v>
      </c>
      <c r="AR53" s="66" t="s">
        <v>385</v>
      </c>
      <c r="AS53" s="199" t="s">
        <v>52</v>
      </c>
      <c r="AU53" s="81">
        <v>49</v>
      </c>
      <c r="AV53" s="97" t="s">
        <v>235</v>
      </c>
      <c r="AW53" s="14" t="s">
        <v>435</v>
      </c>
      <c r="AX53" s="195" t="s">
        <v>460</v>
      </c>
    </row>
    <row r="54" spans="1:50" x14ac:dyDescent="0.3">
      <c r="A54" s="517"/>
      <c r="B54" s="517"/>
      <c r="C54" s="520"/>
      <c r="D54" s="517"/>
      <c r="E54" s="44"/>
      <c r="F54" s="40"/>
      <c r="G54" s="44" t="s">
        <v>6</v>
      </c>
      <c r="H54" s="44">
        <v>25</v>
      </c>
      <c r="I54" s="44">
        <v>29</v>
      </c>
      <c r="J54" s="40">
        <f>2^(I54-H54)</f>
        <v>16</v>
      </c>
      <c r="L54" s="40"/>
      <c r="M54" s="1"/>
      <c r="N54" s="44">
        <v>38</v>
      </c>
      <c r="O54" s="44" t="s">
        <v>224</v>
      </c>
      <c r="P54" s="191" t="s">
        <v>424</v>
      </c>
      <c r="Q54" s="44">
        <v>21</v>
      </c>
      <c r="R54" s="44">
        <v>35.9</v>
      </c>
      <c r="S54" s="40">
        <f>2^(R54-Q54)</f>
        <v>30573.625066678065</v>
      </c>
      <c r="T54" s="44" t="s">
        <v>263</v>
      </c>
      <c r="U54" s="44">
        <v>31</v>
      </c>
      <c r="V54" s="44" t="s">
        <v>52</v>
      </c>
      <c r="W54" s="40">
        <f>2^(40-U54)</f>
        <v>512</v>
      </c>
      <c r="X54" s="40"/>
      <c r="Y54" s="44"/>
      <c r="Z54" s="10"/>
      <c r="AA54" s="10"/>
      <c r="AC54" s="14" t="s">
        <v>2</v>
      </c>
      <c r="AD54" s="69">
        <v>294</v>
      </c>
      <c r="AE54" s="69">
        <v>0.5</v>
      </c>
      <c r="AG54" s="15" t="s">
        <v>0</v>
      </c>
      <c r="AH54" s="20">
        <v>9742</v>
      </c>
      <c r="AI54" s="20">
        <v>1024</v>
      </c>
      <c r="AK54" s="79" t="s">
        <v>0</v>
      </c>
      <c r="AL54" s="69">
        <v>9742</v>
      </c>
      <c r="AM54" s="69">
        <v>16384</v>
      </c>
      <c r="AP54" s="82">
        <v>50</v>
      </c>
      <c r="AQ54" s="57" t="s">
        <v>178</v>
      </c>
      <c r="AR54" s="293" t="s">
        <v>386</v>
      </c>
      <c r="AS54" s="199" t="s">
        <v>52</v>
      </c>
      <c r="AU54" s="81">
        <v>50</v>
      </c>
      <c r="AV54" s="103" t="s">
        <v>236</v>
      </c>
      <c r="AW54" s="14" t="s">
        <v>436</v>
      </c>
      <c r="AX54" s="195" t="s">
        <v>460</v>
      </c>
    </row>
    <row r="55" spans="1:50" x14ac:dyDescent="0.3">
      <c r="A55" s="518"/>
      <c r="B55" s="518"/>
      <c r="C55" s="521"/>
      <c r="D55" s="518"/>
      <c r="E55" s="44"/>
      <c r="F55" s="40"/>
      <c r="G55" s="44" t="s">
        <v>159</v>
      </c>
      <c r="H55" s="44">
        <v>35</v>
      </c>
      <c r="I55" s="44">
        <v>34</v>
      </c>
      <c r="J55" s="41">
        <f>2^(I55-H55)</f>
        <v>0.5</v>
      </c>
      <c r="K55" s="41"/>
      <c r="L55" s="41"/>
      <c r="M55" s="1"/>
      <c r="N55" s="44">
        <v>39</v>
      </c>
      <c r="O55" s="44" t="s">
        <v>225</v>
      </c>
      <c r="P55" s="78" t="s">
        <v>425</v>
      </c>
      <c r="Q55" s="44">
        <v>20.8</v>
      </c>
      <c r="R55" s="44">
        <v>35.4</v>
      </c>
      <c r="S55" s="40">
        <f>2^(R55-Q55)</f>
        <v>24833.500225706306</v>
      </c>
      <c r="T55" s="44" t="s">
        <v>159</v>
      </c>
      <c r="U55" s="44">
        <v>25</v>
      </c>
      <c r="V55" s="44">
        <v>30.7</v>
      </c>
      <c r="W55" s="40">
        <f>2^(V55-U55)</f>
        <v>51.984153366799028</v>
      </c>
      <c r="X55" s="40"/>
      <c r="Y55" s="44"/>
      <c r="Z55" s="10"/>
      <c r="AA55" s="10"/>
      <c r="AC55" s="14" t="s">
        <v>2</v>
      </c>
      <c r="AD55" s="69">
        <v>6654</v>
      </c>
      <c r="AE55" s="69">
        <v>64</v>
      </c>
      <c r="AG55" s="15" t="s">
        <v>0</v>
      </c>
      <c r="AH55" s="20">
        <v>301124</v>
      </c>
      <c r="AI55" s="20">
        <v>580</v>
      </c>
      <c r="AK55" s="79" t="s">
        <v>0</v>
      </c>
      <c r="AL55" s="69">
        <v>301124</v>
      </c>
      <c r="AM55" s="69"/>
      <c r="AS55" s="193"/>
      <c r="AU55" s="82">
        <v>51</v>
      </c>
      <c r="AV55" s="85" t="s">
        <v>237</v>
      </c>
      <c r="AW55" s="14" t="s">
        <v>437</v>
      </c>
      <c r="AX55" s="195" t="s">
        <v>460</v>
      </c>
    </row>
    <row r="56" spans="1:50" x14ac:dyDescent="0.35">
      <c r="A56" s="44">
        <v>43</v>
      </c>
      <c r="B56" s="44" t="s">
        <v>169</v>
      </c>
      <c r="C56" s="54" t="s">
        <v>379</v>
      </c>
      <c r="D56" s="44">
        <v>21</v>
      </c>
      <c r="E56" s="44">
        <v>33.700000000000003</v>
      </c>
      <c r="F56" s="40">
        <f>2^(E56-D56)</f>
        <v>6653.9716309502946</v>
      </c>
      <c r="G56" s="44" t="s">
        <v>6</v>
      </c>
      <c r="H56" s="44">
        <v>29</v>
      </c>
      <c r="I56" s="44">
        <v>35</v>
      </c>
      <c r="J56" s="40">
        <f>2^(I56-H56)</f>
        <v>64</v>
      </c>
      <c r="K56" s="40">
        <v>64</v>
      </c>
      <c r="L56" s="40"/>
      <c r="M56" s="1"/>
      <c r="N56" s="516">
        <v>40</v>
      </c>
      <c r="O56" s="516" t="s">
        <v>226</v>
      </c>
      <c r="P56" s="548" t="s">
        <v>426</v>
      </c>
      <c r="Q56" s="516">
        <v>18.8</v>
      </c>
      <c r="R56" s="516">
        <v>30.2</v>
      </c>
      <c r="S56" s="536">
        <f>2^(R56-Q56)</f>
        <v>2702.3522012628828</v>
      </c>
      <c r="T56" s="44" t="s">
        <v>5</v>
      </c>
      <c r="U56" s="44">
        <v>25</v>
      </c>
      <c r="V56" s="44" t="s">
        <v>52</v>
      </c>
      <c r="W56" s="44">
        <f>2^(40-U56)</f>
        <v>32768</v>
      </c>
      <c r="X56" s="40">
        <v>8192</v>
      </c>
      <c r="Y56" s="44">
        <v>32768</v>
      </c>
      <c r="Z56" s="10"/>
      <c r="AA56" s="10"/>
      <c r="AC56" s="14" t="s">
        <v>2</v>
      </c>
      <c r="AD56" s="69">
        <v>127</v>
      </c>
      <c r="AE56" s="69">
        <v>1552</v>
      </c>
      <c r="AG56" s="15" t="s">
        <v>0</v>
      </c>
      <c r="AH56" s="20">
        <v>1574</v>
      </c>
      <c r="AI56" s="20"/>
      <c r="AK56" s="79" t="s">
        <v>0</v>
      </c>
      <c r="AL56" s="69">
        <v>1574</v>
      </c>
      <c r="AM56" s="69">
        <v>1.1000000000000001</v>
      </c>
      <c r="AS56" s="193"/>
      <c r="AU56" s="1"/>
      <c r="AV56" s="1"/>
    </row>
    <row r="57" spans="1:50" x14ac:dyDescent="0.35">
      <c r="A57" s="44">
        <v>44</v>
      </c>
      <c r="B57" s="44" t="s">
        <v>170</v>
      </c>
      <c r="C57" s="54" t="s">
        <v>380</v>
      </c>
      <c r="D57" s="44">
        <v>23.51</v>
      </c>
      <c r="E57" s="44">
        <v>30.5</v>
      </c>
      <c r="F57" s="40">
        <f>2^(E57-D57)</f>
        <v>127.11583941594041</v>
      </c>
      <c r="G57" s="44" t="s">
        <v>6</v>
      </c>
      <c r="H57" s="44">
        <v>21</v>
      </c>
      <c r="I57" s="44">
        <v>31.6</v>
      </c>
      <c r="J57" s="40">
        <f>2^(I57-H57)</f>
        <v>1552.0937641066491</v>
      </c>
      <c r="K57" s="40">
        <v>1552.0937641066491</v>
      </c>
      <c r="L57" s="40"/>
      <c r="M57" s="1"/>
      <c r="N57" s="518"/>
      <c r="O57" s="518"/>
      <c r="P57" s="549"/>
      <c r="Q57" s="518"/>
      <c r="R57" s="518"/>
      <c r="S57" s="537"/>
      <c r="T57" s="44" t="s">
        <v>6</v>
      </c>
      <c r="U57" s="44">
        <v>27</v>
      </c>
      <c r="V57" s="44" t="s">
        <v>52</v>
      </c>
      <c r="W57" s="44">
        <f>2^(40-U57)</f>
        <v>8192</v>
      </c>
      <c r="Y57" s="44"/>
      <c r="Z57" s="10"/>
      <c r="AA57" s="10"/>
      <c r="AC57" s="14" t="s">
        <v>2</v>
      </c>
      <c r="AD57" s="69">
        <v>18</v>
      </c>
      <c r="AE57" s="69">
        <v>262144</v>
      </c>
      <c r="AG57" s="15" t="s">
        <v>0</v>
      </c>
      <c r="AH57" s="20">
        <v>10885</v>
      </c>
      <c r="AI57" s="20">
        <v>136</v>
      </c>
      <c r="AK57" s="79" t="s">
        <v>0</v>
      </c>
      <c r="AL57" s="69">
        <v>10885</v>
      </c>
      <c r="AM57" s="69"/>
      <c r="AS57" s="193"/>
      <c r="AU57" s="1"/>
      <c r="AV57" s="1"/>
    </row>
    <row r="58" spans="1:50" x14ac:dyDescent="0.3">
      <c r="A58" s="44">
        <v>45</v>
      </c>
      <c r="B58" s="44" t="s">
        <v>171</v>
      </c>
      <c r="C58" s="75" t="s">
        <v>381</v>
      </c>
      <c r="D58" s="44">
        <v>22</v>
      </c>
      <c r="E58" s="44">
        <v>26.2</v>
      </c>
      <c r="F58" s="40">
        <f>2^(E58-D58)</f>
        <v>18.379173679952551</v>
      </c>
      <c r="G58" s="44" t="s">
        <v>5</v>
      </c>
      <c r="H58" s="44">
        <v>22</v>
      </c>
      <c r="I58" s="44" t="s">
        <v>52</v>
      </c>
      <c r="J58" s="40">
        <f>2^(40-H58)</f>
        <v>262144</v>
      </c>
      <c r="K58" s="40"/>
      <c r="L58" s="40">
        <v>262144</v>
      </c>
      <c r="M58" s="1"/>
      <c r="N58" s="44">
        <v>41</v>
      </c>
      <c r="O58" s="44" t="s">
        <v>227</v>
      </c>
      <c r="P58" s="78" t="s">
        <v>427</v>
      </c>
      <c r="Q58" s="44">
        <v>24.3</v>
      </c>
      <c r="R58" s="44">
        <v>32.9</v>
      </c>
      <c r="S58" s="40">
        <f t="shared" ref="S58:S68" si="3">2^(R58-Q58)</f>
        <v>388.02344102666115</v>
      </c>
      <c r="T58" s="42" t="s">
        <v>6</v>
      </c>
      <c r="U58" s="44">
        <v>26</v>
      </c>
      <c r="V58" s="12">
        <v>26</v>
      </c>
      <c r="W58" s="44">
        <f>2^(V58-U58)</f>
        <v>1</v>
      </c>
      <c r="X58" s="40">
        <v>1</v>
      </c>
      <c r="Y58" s="44"/>
      <c r="Z58" s="10"/>
      <c r="AA58" s="10"/>
      <c r="AC58" s="14" t="s">
        <v>2</v>
      </c>
      <c r="AD58" s="69">
        <v>1176</v>
      </c>
      <c r="AE58" s="69">
        <v>1552</v>
      </c>
      <c r="AG58" s="15" t="s">
        <v>0</v>
      </c>
      <c r="AH58" s="20">
        <v>12246</v>
      </c>
      <c r="AI58" s="20"/>
      <c r="AK58" s="79" t="s">
        <v>0</v>
      </c>
      <c r="AL58" s="69">
        <v>12246</v>
      </c>
      <c r="AM58" s="69">
        <v>2048</v>
      </c>
      <c r="AS58" s="193"/>
      <c r="AU58" s="1"/>
      <c r="AV58" s="1"/>
    </row>
    <row r="59" spans="1:50" x14ac:dyDescent="0.3">
      <c r="A59" s="516">
        <v>46</v>
      </c>
      <c r="B59" s="516" t="s">
        <v>172</v>
      </c>
      <c r="C59" s="519" t="s">
        <v>382</v>
      </c>
      <c r="D59" s="516">
        <v>19</v>
      </c>
      <c r="E59" s="516">
        <v>29.2</v>
      </c>
      <c r="F59" s="536">
        <f>2^(E59-D59)</f>
        <v>1176.2671155169628</v>
      </c>
      <c r="G59" s="44" t="s">
        <v>5</v>
      </c>
      <c r="H59" s="44">
        <v>29.4</v>
      </c>
      <c r="I59" s="44" t="s">
        <v>52</v>
      </c>
      <c r="J59" s="40">
        <f>2^(40-H59)</f>
        <v>1552.0937641066491</v>
      </c>
      <c r="K59" s="40">
        <v>5404.704402525771</v>
      </c>
      <c r="L59" s="40">
        <v>1552.0937641066491</v>
      </c>
      <c r="M59" s="1"/>
      <c r="N59" s="44">
        <v>42</v>
      </c>
      <c r="O59" s="44" t="s">
        <v>228</v>
      </c>
      <c r="P59" s="78" t="s">
        <v>428</v>
      </c>
      <c r="Q59" s="44">
        <v>21.5</v>
      </c>
      <c r="R59" s="44">
        <v>31.6</v>
      </c>
      <c r="S59" s="40">
        <f t="shared" si="3"/>
        <v>1097.4960256371651</v>
      </c>
      <c r="T59" s="42" t="s">
        <v>6</v>
      </c>
      <c r="U59" s="44">
        <v>21</v>
      </c>
      <c r="V59" s="44" t="s">
        <v>52</v>
      </c>
      <c r="W59" s="44">
        <f>2^(40-U59)</f>
        <v>524288</v>
      </c>
      <c r="X59" s="40">
        <v>524288</v>
      </c>
      <c r="Y59" s="44"/>
      <c r="Z59" s="16"/>
      <c r="AA59" s="16"/>
      <c r="AC59" s="14" t="s">
        <v>2</v>
      </c>
      <c r="AD59" s="69">
        <v>1176</v>
      </c>
      <c r="AE59" s="69">
        <v>5405</v>
      </c>
      <c r="AG59" s="15" t="s">
        <v>0</v>
      </c>
      <c r="AH59" s="20">
        <v>320</v>
      </c>
      <c r="AI59" s="20">
        <v>1048576</v>
      </c>
      <c r="AK59" s="79" t="s">
        <v>0</v>
      </c>
      <c r="AL59" s="69">
        <v>320</v>
      </c>
      <c r="AM59" s="69"/>
      <c r="AS59" s="193"/>
      <c r="AU59" s="1"/>
      <c r="AV59" s="1"/>
    </row>
    <row r="60" spans="1:50" x14ac:dyDescent="0.3">
      <c r="A60" s="518"/>
      <c r="B60" s="518"/>
      <c r="C60" s="521"/>
      <c r="D60" s="518"/>
      <c r="E60" s="518"/>
      <c r="F60" s="537"/>
      <c r="G60" s="44" t="s">
        <v>6</v>
      </c>
      <c r="H60" s="44">
        <v>27.6</v>
      </c>
      <c r="I60" s="44" t="s">
        <v>52</v>
      </c>
      <c r="J60" s="40">
        <f>2^(40-H60)</f>
        <v>5404.704402525771</v>
      </c>
      <c r="L60" s="40"/>
      <c r="M60" s="1"/>
      <c r="N60" s="44">
        <v>43</v>
      </c>
      <c r="O60" s="44" t="s">
        <v>229</v>
      </c>
      <c r="P60" s="76" t="s">
        <v>429</v>
      </c>
      <c r="Q60" s="44">
        <v>23.2</v>
      </c>
      <c r="R60" s="44">
        <v>33.5</v>
      </c>
      <c r="S60" s="40">
        <f t="shared" si="3"/>
        <v>1260.6918792651943</v>
      </c>
      <c r="T60" s="42" t="s">
        <v>6</v>
      </c>
      <c r="U60" s="44">
        <v>26</v>
      </c>
      <c r="V60" s="44">
        <v>28</v>
      </c>
      <c r="W60" s="44">
        <f>2^(V60-U60)</f>
        <v>4</v>
      </c>
      <c r="X60" s="40">
        <v>4</v>
      </c>
      <c r="Y60" s="42"/>
      <c r="Z60" s="16"/>
      <c r="AA60" s="16"/>
      <c r="AC60" s="14" t="s">
        <v>2</v>
      </c>
      <c r="AD60" s="69">
        <v>239</v>
      </c>
      <c r="AE60" s="69">
        <v>32</v>
      </c>
      <c r="AG60" s="15" t="s">
        <v>0</v>
      </c>
      <c r="AH60" s="20">
        <v>580</v>
      </c>
      <c r="AI60" s="20">
        <v>64</v>
      </c>
      <c r="AK60" s="79" t="s">
        <v>0</v>
      </c>
      <c r="AL60" s="69">
        <v>580</v>
      </c>
      <c r="AM60" s="69">
        <v>1024</v>
      </c>
      <c r="AS60" s="193"/>
      <c r="AU60" s="1"/>
      <c r="AV60" s="1"/>
    </row>
    <row r="61" spans="1:50" x14ac:dyDescent="0.3">
      <c r="A61" s="516">
        <v>47</v>
      </c>
      <c r="B61" s="516" t="s">
        <v>176</v>
      </c>
      <c r="C61" s="540" t="s">
        <v>383</v>
      </c>
      <c r="D61" s="516">
        <v>21.1</v>
      </c>
      <c r="E61" s="516">
        <v>29</v>
      </c>
      <c r="F61" s="536">
        <f>2^(E61-D61)</f>
        <v>238.85644583342244</v>
      </c>
      <c r="G61" s="42" t="s">
        <v>6</v>
      </c>
      <c r="H61" s="44">
        <v>26</v>
      </c>
      <c r="I61" s="44">
        <v>31</v>
      </c>
      <c r="J61" s="40">
        <f>2^(I61-H61)</f>
        <v>32</v>
      </c>
      <c r="K61" s="40">
        <v>32</v>
      </c>
      <c r="L61" s="42">
        <v>512</v>
      </c>
      <c r="M61" s="1"/>
      <c r="N61" s="44">
        <v>44</v>
      </c>
      <c r="O61" s="44" t="s">
        <v>230</v>
      </c>
      <c r="P61" s="75" t="s">
        <v>430</v>
      </c>
      <c r="Q61" s="44">
        <v>19.7</v>
      </c>
      <c r="R61" s="44">
        <v>31.98</v>
      </c>
      <c r="S61" s="40">
        <f t="shared" si="3"/>
        <v>4973.3422464821106</v>
      </c>
      <c r="T61" s="42" t="s">
        <v>5</v>
      </c>
      <c r="U61" s="44">
        <v>26.8</v>
      </c>
      <c r="V61" s="44" t="s">
        <v>52</v>
      </c>
      <c r="W61" s="42">
        <f>2^(40-U61)</f>
        <v>9410.1369241357042</v>
      </c>
      <c r="X61" s="40"/>
      <c r="Y61" s="40">
        <v>9410.1369241357042</v>
      </c>
      <c r="Z61" s="10"/>
      <c r="AA61" s="10"/>
      <c r="AC61" s="14" t="s">
        <v>2</v>
      </c>
      <c r="AD61" s="69">
        <v>239</v>
      </c>
      <c r="AE61" s="69">
        <v>512</v>
      </c>
      <c r="AG61" s="15" t="s">
        <v>0</v>
      </c>
      <c r="AH61" s="20">
        <v>355626</v>
      </c>
      <c r="AI61" s="20">
        <v>32768</v>
      </c>
      <c r="AK61" s="79" t="s">
        <v>0</v>
      </c>
      <c r="AL61" s="69">
        <v>355626</v>
      </c>
      <c r="AM61" s="69">
        <v>1024</v>
      </c>
      <c r="AS61" s="193"/>
      <c r="AU61" s="1"/>
      <c r="AV61" s="1"/>
    </row>
    <row r="62" spans="1:50" x14ac:dyDescent="0.3">
      <c r="A62" s="518"/>
      <c r="B62" s="518"/>
      <c r="C62" s="541"/>
      <c r="D62" s="518"/>
      <c r="E62" s="518"/>
      <c r="F62" s="537"/>
      <c r="G62" s="42" t="s">
        <v>5</v>
      </c>
      <c r="H62" s="44">
        <v>23</v>
      </c>
      <c r="I62" s="44">
        <v>32</v>
      </c>
      <c r="J62" s="40">
        <f>2^(I62-H62)</f>
        <v>512</v>
      </c>
      <c r="K62" s="40"/>
      <c r="M62" s="1"/>
      <c r="N62" s="44">
        <v>45</v>
      </c>
      <c r="O62" s="44" t="s">
        <v>231</v>
      </c>
      <c r="P62" s="75" t="s">
        <v>431</v>
      </c>
      <c r="Q62" s="44">
        <v>20.2</v>
      </c>
      <c r="R62" s="44">
        <v>27.9</v>
      </c>
      <c r="S62" s="40">
        <f t="shared" si="3"/>
        <v>207.93661346719605</v>
      </c>
      <c r="T62" s="42" t="s">
        <v>5</v>
      </c>
      <c r="U62" s="44">
        <v>27</v>
      </c>
      <c r="V62" s="44">
        <v>38</v>
      </c>
      <c r="W62" s="40">
        <f>2^(V62-U62)</f>
        <v>2048</v>
      </c>
      <c r="X62" s="40"/>
      <c r="Y62" s="40">
        <v>2048</v>
      </c>
      <c r="Z62" s="10"/>
      <c r="AA62" s="10"/>
      <c r="AC62" s="14" t="s">
        <v>2</v>
      </c>
      <c r="AD62" s="69">
        <v>104</v>
      </c>
      <c r="AE62" s="69">
        <v>104</v>
      </c>
      <c r="AG62" s="15" t="s">
        <v>0</v>
      </c>
      <c r="AH62" s="20">
        <v>320508</v>
      </c>
      <c r="AI62" s="20">
        <v>64</v>
      </c>
      <c r="AK62" s="79" t="s">
        <v>0</v>
      </c>
      <c r="AL62" s="69">
        <v>320508</v>
      </c>
      <c r="AM62" s="69"/>
      <c r="AS62" s="193"/>
      <c r="AU62" s="1"/>
      <c r="AV62" s="1"/>
    </row>
    <row r="63" spans="1:50" x14ac:dyDescent="0.35">
      <c r="A63" s="44">
        <v>48</v>
      </c>
      <c r="B63" s="44" t="s">
        <v>179</v>
      </c>
      <c r="C63" s="77" t="s">
        <v>384</v>
      </c>
      <c r="D63" s="44">
        <v>20</v>
      </c>
      <c r="E63" s="44">
        <v>26.7</v>
      </c>
      <c r="F63" s="40">
        <f>2^(E63-D63)</f>
        <v>103.96830673359811</v>
      </c>
      <c r="G63" s="42" t="s">
        <v>6</v>
      </c>
      <c r="H63" s="44">
        <v>25.3</v>
      </c>
      <c r="I63" s="44">
        <v>32</v>
      </c>
      <c r="J63" s="40">
        <f>2^(I63-H63)</f>
        <v>103.96830673359811</v>
      </c>
      <c r="K63" s="40">
        <v>103.96830673359811</v>
      </c>
      <c r="L63" s="42"/>
      <c r="M63" s="1"/>
      <c r="N63" s="44">
        <v>46</v>
      </c>
      <c r="O63" s="44" t="s">
        <v>232</v>
      </c>
      <c r="P63" s="75" t="s">
        <v>432</v>
      </c>
      <c r="Q63" s="44">
        <v>23.6</v>
      </c>
      <c r="R63" s="44">
        <v>25.9</v>
      </c>
      <c r="S63" s="40">
        <f t="shared" si="3"/>
        <v>4.9245776533796555</v>
      </c>
      <c r="T63" s="42" t="s">
        <v>6</v>
      </c>
      <c r="U63" s="44">
        <v>29</v>
      </c>
      <c r="V63" s="44">
        <v>35</v>
      </c>
      <c r="W63" s="40">
        <f>2^(V63-U63)</f>
        <v>64</v>
      </c>
      <c r="X63" s="40">
        <v>64</v>
      </c>
      <c r="Y63" s="42"/>
      <c r="AC63" s="14" t="s">
        <v>2</v>
      </c>
      <c r="AD63" s="69">
        <v>20</v>
      </c>
      <c r="AE63" s="69">
        <v>0.3</v>
      </c>
      <c r="AG63" s="15" t="s">
        <v>0</v>
      </c>
      <c r="AH63" s="20">
        <v>2097152</v>
      </c>
      <c r="AI63" s="20">
        <v>2048</v>
      </c>
      <c r="AK63" s="79" t="s">
        <v>0</v>
      </c>
      <c r="AL63" s="69">
        <v>2097152</v>
      </c>
      <c r="AM63" s="69">
        <v>16384</v>
      </c>
      <c r="AS63" s="193"/>
      <c r="AU63" s="1"/>
      <c r="AV63" s="1"/>
    </row>
    <row r="64" spans="1:50" x14ac:dyDescent="0.35">
      <c r="A64" s="44">
        <v>49</v>
      </c>
      <c r="B64" s="44" t="s">
        <v>177</v>
      </c>
      <c r="C64" s="77" t="s">
        <v>385</v>
      </c>
      <c r="D64" s="44">
        <v>25.7</v>
      </c>
      <c r="E64" s="44">
        <v>30</v>
      </c>
      <c r="F64" s="40">
        <f>2^(E64-D64)</f>
        <v>19.698310613518668</v>
      </c>
      <c r="G64" s="42" t="s">
        <v>5</v>
      </c>
      <c r="H64" s="44">
        <v>26</v>
      </c>
      <c r="I64" s="44">
        <v>24</v>
      </c>
      <c r="J64" s="42">
        <f>2^(I64-H64)</f>
        <v>0.25</v>
      </c>
      <c r="K64" s="44"/>
      <c r="L64" s="42">
        <v>0.25</v>
      </c>
      <c r="M64" s="1"/>
      <c r="N64" s="44">
        <v>47</v>
      </c>
      <c r="O64" s="44" t="s">
        <v>233</v>
      </c>
      <c r="P64" s="75" t="s">
        <v>433</v>
      </c>
      <c r="Q64" s="44">
        <v>22.6</v>
      </c>
      <c r="R64" s="44">
        <v>32.1</v>
      </c>
      <c r="S64" s="40">
        <f t="shared" si="3"/>
        <v>724.0773439350246</v>
      </c>
      <c r="T64" s="42" t="s">
        <v>5</v>
      </c>
      <c r="U64" s="44">
        <v>25</v>
      </c>
      <c r="V64" s="44">
        <v>36</v>
      </c>
      <c r="W64" s="42">
        <v>2048</v>
      </c>
      <c r="X64" s="40"/>
      <c r="Y64" s="42">
        <v>2048</v>
      </c>
      <c r="AC64" s="14" t="s">
        <v>2</v>
      </c>
      <c r="AD64" s="69">
        <v>18</v>
      </c>
      <c r="AE64" s="69">
        <v>64</v>
      </c>
      <c r="AG64" s="15" t="s">
        <v>0</v>
      </c>
      <c r="AH64" s="20">
        <v>2048</v>
      </c>
      <c r="AI64" s="20">
        <v>8192</v>
      </c>
      <c r="AK64" s="79" t="s">
        <v>0</v>
      </c>
      <c r="AL64" s="69">
        <v>2048</v>
      </c>
      <c r="AM64" s="69"/>
      <c r="AS64" s="193"/>
      <c r="AU64" s="1"/>
      <c r="AV64" s="1"/>
    </row>
    <row r="65" spans="1:45" x14ac:dyDescent="0.35">
      <c r="A65" s="44">
        <v>50</v>
      </c>
      <c r="B65" s="44" t="s">
        <v>178</v>
      </c>
      <c r="C65" s="54" t="s">
        <v>386</v>
      </c>
      <c r="D65" s="44">
        <v>27.5</v>
      </c>
      <c r="E65" s="44">
        <v>31.7</v>
      </c>
      <c r="F65" s="40">
        <f>2^(E65-D65)</f>
        <v>18.379173679952551</v>
      </c>
      <c r="G65" s="42" t="s">
        <v>6</v>
      </c>
      <c r="H65" s="44">
        <v>25</v>
      </c>
      <c r="I65" s="44">
        <v>31</v>
      </c>
      <c r="J65" s="40">
        <f>2^(I65-H65)</f>
        <v>64</v>
      </c>
      <c r="K65" s="40">
        <v>64</v>
      </c>
      <c r="L65" s="42"/>
      <c r="M65" s="1"/>
      <c r="N65" s="44">
        <v>48</v>
      </c>
      <c r="O65" s="44" t="s">
        <v>234</v>
      </c>
      <c r="P65" s="75" t="s">
        <v>434</v>
      </c>
      <c r="Q65" s="44">
        <v>25.1</v>
      </c>
      <c r="R65" s="44">
        <v>28.2</v>
      </c>
      <c r="S65" s="40">
        <f t="shared" si="3"/>
        <v>8.5741877002903326</v>
      </c>
      <c r="T65" s="42" t="s">
        <v>6</v>
      </c>
      <c r="U65" s="44">
        <v>23</v>
      </c>
      <c r="V65" s="44" t="s">
        <v>52</v>
      </c>
      <c r="W65" s="40">
        <f>2^(40-U65)</f>
        <v>131072</v>
      </c>
      <c r="X65" s="40">
        <v>131072</v>
      </c>
      <c r="Y65" s="42"/>
      <c r="AC65" s="14" t="s">
        <v>0</v>
      </c>
      <c r="AD65" s="69">
        <v>9742</v>
      </c>
      <c r="AE65" s="69">
        <v>16384</v>
      </c>
      <c r="AG65" s="15" t="s">
        <v>0</v>
      </c>
      <c r="AH65" s="20">
        <v>546552</v>
      </c>
      <c r="AI65" s="20">
        <v>4096</v>
      </c>
      <c r="AK65" s="79" t="s">
        <v>0</v>
      </c>
      <c r="AL65" s="69">
        <v>546552</v>
      </c>
      <c r="AM65" s="69">
        <v>16384</v>
      </c>
      <c r="AS65" s="193"/>
    </row>
    <row r="66" spans="1:45" x14ac:dyDescent="0.3">
      <c r="A66" s="507" t="s">
        <v>31</v>
      </c>
      <c r="B66" s="508"/>
      <c r="C66" s="44"/>
      <c r="D66" s="43">
        <f>MIN(D5:D65)</f>
        <v>19</v>
      </c>
      <c r="E66" s="43"/>
      <c r="F66" s="43"/>
      <c r="G66" s="44"/>
      <c r="H66" s="43">
        <f>MIN(H5:H65)</f>
        <v>20</v>
      </c>
      <c r="I66" s="43"/>
      <c r="J66" s="43"/>
      <c r="K66" s="43"/>
      <c r="L66" s="43"/>
      <c r="M66" s="48"/>
      <c r="N66" s="44">
        <v>49</v>
      </c>
      <c r="O66" s="44" t="s">
        <v>235</v>
      </c>
      <c r="P66" s="75" t="s">
        <v>435</v>
      </c>
      <c r="Q66" s="44">
        <v>21.7</v>
      </c>
      <c r="R66" s="44">
        <v>36.6</v>
      </c>
      <c r="S66" s="40">
        <f t="shared" si="3"/>
        <v>30573.62506667812</v>
      </c>
      <c r="T66" s="42" t="s">
        <v>5</v>
      </c>
      <c r="U66" s="44">
        <v>26</v>
      </c>
      <c r="V66" s="44" t="s">
        <v>52</v>
      </c>
      <c r="W66" s="40">
        <f>2^(40-U66)</f>
        <v>16384</v>
      </c>
      <c r="X66" s="40"/>
      <c r="Y66" s="42">
        <v>16384</v>
      </c>
      <c r="AC66" s="14" t="s">
        <v>0</v>
      </c>
      <c r="AD66" s="69">
        <v>9742</v>
      </c>
      <c r="AE66" s="69">
        <v>1024</v>
      </c>
      <c r="AG66" s="15" t="s">
        <v>0</v>
      </c>
      <c r="AH66" s="20">
        <v>262144</v>
      </c>
      <c r="AI66" s="20">
        <v>65536</v>
      </c>
      <c r="AK66" s="79" t="s">
        <v>0</v>
      </c>
      <c r="AL66" s="69">
        <v>262144</v>
      </c>
      <c r="AM66" s="69"/>
    </row>
    <row r="67" spans="1:45" x14ac:dyDescent="0.3">
      <c r="A67" s="507" t="s">
        <v>32</v>
      </c>
      <c r="B67" s="508"/>
      <c r="C67" s="44"/>
      <c r="D67" s="43">
        <f>MAX(D6:D66)</f>
        <v>30</v>
      </c>
      <c r="E67" s="43"/>
      <c r="F67" s="44"/>
      <c r="G67" s="44"/>
      <c r="H67" s="43">
        <f>MAX(H6:H66)</f>
        <v>37</v>
      </c>
      <c r="I67" s="44"/>
      <c r="J67" s="44"/>
      <c r="K67" s="44"/>
      <c r="L67" s="44"/>
      <c r="M67" s="48"/>
      <c r="N67" s="44">
        <v>50</v>
      </c>
      <c r="O67" s="44" t="s">
        <v>236</v>
      </c>
      <c r="P67" s="75" t="s">
        <v>436</v>
      </c>
      <c r="Q67" s="44">
        <v>18.170000000000002</v>
      </c>
      <c r="R67" s="44">
        <v>25</v>
      </c>
      <c r="S67" s="40">
        <f t="shared" si="3"/>
        <v>113.77186318932084</v>
      </c>
      <c r="T67" s="42" t="s">
        <v>6</v>
      </c>
      <c r="U67" s="44">
        <v>27</v>
      </c>
      <c r="V67" s="44" t="s">
        <v>52</v>
      </c>
      <c r="W67" s="40">
        <f>2^(40-U67)</f>
        <v>8192</v>
      </c>
      <c r="X67" s="40">
        <v>8192</v>
      </c>
      <c r="Y67" s="42"/>
      <c r="AC67" s="14" t="s">
        <v>0</v>
      </c>
      <c r="AD67" s="69">
        <v>301124</v>
      </c>
      <c r="AE67" s="69">
        <v>580.03700000000003</v>
      </c>
      <c r="AG67" s="15" t="s">
        <v>0</v>
      </c>
      <c r="AH67" s="20">
        <v>7231</v>
      </c>
      <c r="AI67" s="20"/>
      <c r="AK67" s="79" t="s">
        <v>0</v>
      </c>
      <c r="AL67" s="69">
        <v>7231</v>
      </c>
      <c r="AM67" s="69">
        <v>4096</v>
      </c>
    </row>
    <row r="68" spans="1:45" x14ac:dyDescent="0.3">
      <c r="A68" s="507" t="s">
        <v>7</v>
      </c>
      <c r="B68" s="508"/>
      <c r="C68" s="44"/>
      <c r="D68" s="418">
        <f>MEDIAN(D5:D65)</f>
        <v>24.5</v>
      </c>
      <c r="E68" s="418">
        <f>MEDIAN(E5:E65)</f>
        <v>32.900000000000006</v>
      </c>
      <c r="F68" s="45">
        <f>MEDIAN(F5:F65)</f>
        <v>251.63985010238079</v>
      </c>
      <c r="G68" s="45"/>
      <c r="H68" s="418">
        <f>MEDIAN(H5:H65)</f>
        <v>27</v>
      </c>
      <c r="I68" s="418">
        <f>MEDIAN(I5:I65)</f>
        <v>32</v>
      </c>
      <c r="J68" s="45">
        <f>MEDIAN(J5:J65)</f>
        <v>256</v>
      </c>
      <c r="K68" s="45">
        <f>MEDIAN(K5:K65)</f>
        <v>275.03338943962069</v>
      </c>
      <c r="L68" s="45">
        <f>MEDIAN(L5:L65)</f>
        <v>768</v>
      </c>
      <c r="M68" s="52"/>
      <c r="N68" s="44">
        <v>51</v>
      </c>
      <c r="O68" s="44" t="s">
        <v>237</v>
      </c>
      <c r="P68" s="75" t="s">
        <v>437</v>
      </c>
      <c r="Q68" s="44">
        <v>18.309999999999999</v>
      </c>
      <c r="R68" s="44">
        <v>29.49</v>
      </c>
      <c r="S68" s="40">
        <f t="shared" si="3"/>
        <v>2320.1461970857945</v>
      </c>
      <c r="T68" s="42" t="s">
        <v>5</v>
      </c>
      <c r="U68" s="44">
        <v>26</v>
      </c>
      <c r="V68" s="44">
        <v>24</v>
      </c>
      <c r="W68" s="42">
        <f>2^(V68-U68)</f>
        <v>0.25</v>
      </c>
      <c r="X68" s="40"/>
      <c r="Y68" s="42">
        <v>0.25</v>
      </c>
      <c r="AC68" s="14" t="s">
        <v>0</v>
      </c>
      <c r="AD68" s="69">
        <v>1574</v>
      </c>
      <c r="AE68" s="69">
        <v>1.1000000000000001</v>
      </c>
      <c r="AG68" s="15" t="s">
        <v>0</v>
      </c>
      <c r="AH68" s="20">
        <v>0.4</v>
      </c>
      <c r="AI68" s="20">
        <v>32768</v>
      </c>
      <c r="AK68" s="79" t="s">
        <v>0</v>
      </c>
      <c r="AL68" s="69">
        <v>0.4</v>
      </c>
      <c r="AM68" s="69"/>
    </row>
    <row r="69" spans="1:45" x14ac:dyDescent="0.35">
      <c r="D69" s="25"/>
      <c r="E69" s="25"/>
      <c r="H69" s="25"/>
      <c r="N69" s="507" t="s">
        <v>31</v>
      </c>
      <c r="O69" s="508"/>
      <c r="P69" s="75"/>
      <c r="Q69" s="43">
        <f>MIN(Q8:Q68)</f>
        <v>18</v>
      </c>
      <c r="R69" s="43"/>
      <c r="S69" s="43"/>
      <c r="T69" s="44"/>
      <c r="U69" s="43">
        <f>MIN(U8:U68)</f>
        <v>19</v>
      </c>
      <c r="V69" s="43"/>
      <c r="W69" s="43"/>
      <c r="X69" s="43"/>
      <c r="Y69" s="43"/>
      <c r="AC69" s="14" t="s">
        <v>0</v>
      </c>
      <c r="AD69" s="69">
        <v>10885</v>
      </c>
      <c r="AE69" s="69">
        <v>136.239</v>
      </c>
      <c r="AG69" s="15" t="s">
        <v>0</v>
      </c>
      <c r="AH69" s="20">
        <v>27746</v>
      </c>
      <c r="AI69" s="20">
        <v>512</v>
      </c>
      <c r="AK69" s="79" t="s">
        <v>0</v>
      </c>
      <c r="AL69" s="69">
        <v>27746</v>
      </c>
      <c r="AM69" s="69"/>
    </row>
    <row r="70" spans="1:45" x14ac:dyDescent="0.35">
      <c r="D70" s="25"/>
      <c r="N70" s="509" t="s">
        <v>32</v>
      </c>
      <c r="O70" s="509"/>
      <c r="P70" s="75"/>
      <c r="Q70" s="43">
        <f>MAX(Q9:Q69)</f>
        <v>28.6</v>
      </c>
      <c r="R70" s="43"/>
      <c r="S70" s="44"/>
      <c r="T70" s="44"/>
      <c r="U70" s="43">
        <f>MAX(U9:U69)</f>
        <v>33</v>
      </c>
      <c r="V70" s="44"/>
      <c r="W70" s="44"/>
      <c r="X70" s="44"/>
      <c r="Y70" s="44"/>
      <c r="AC70" s="14" t="s">
        <v>0</v>
      </c>
      <c r="AD70" s="69">
        <v>12246</v>
      </c>
      <c r="AE70" s="69">
        <v>2048</v>
      </c>
      <c r="AG70" s="15" t="s">
        <v>0</v>
      </c>
      <c r="AH70" s="20">
        <v>256</v>
      </c>
      <c r="AI70" s="20">
        <v>2048</v>
      </c>
      <c r="AK70" s="79" t="s">
        <v>0</v>
      </c>
      <c r="AL70" s="69">
        <v>256</v>
      </c>
      <c r="AM70" s="69">
        <v>8192</v>
      </c>
    </row>
    <row r="71" spans="1:45" x14ac:dyDescent="0.35">
      <c r="D71" s="25"/>
      <c r="N71" s="509" t="s">
        <v>7</v>
      </c>
      <c r="O71" s="509"/>
      <c r="P71" s="75"/>
      <c r="Q71" s="188"/>
      <c r="R71" s="44"/>
      <c r="S71" s="45">
        <f>MEDIAN(S5:S68)</f>
        <v>3956.4752032761626</v>
      </c>
      <c r="T71" s="45"/>
      <c r="U71" s="45"/>
      <c r="V71" s="45"/>
      <c r="W71" s="45">
        <f>MEDIAN(W5:W68)</f>
        <v>4096</v>
      </c>
      <c r="X71" s="45">
        <f>MEDIAN(X5:X68)</f>
        <v>2806.887553630464</v>
      </c>
      <c r="Y71" s="45">
        <f>MEDIAN(Y5:Y68)</f>
        <v>8801.0684620678512</v>
      </c>
      <c r="AC71" s="14" t="s">
        <v>0</v>
      </c>
      <c r="AD71" s="69">
        <v>320</v>
      </c>
      <c r="AE71" s="69">
        <v>1048576</v>
      </c>
      <c r="AG71" s="15" t="s">
        <v>0</v>
      </c>
      <c r="AH71" s="20">
        <v>3822</v>
      </c>
      <c r="AI71" s="20">
        <v>16384</v>
      </c>
      <c r="AK71" s="79" t="s">
        <v>0</v>
      </c>
      <c r="AL71" s="69">
        <v>3822</v>
      </c>
      <c r="AM71" s="69"/>
    </row>
    <row r="72" spans="1:45" x14ac:dyDescent="0.35">
      <c r="D72" s="25"/>
      <c r="N72" s="55" t="s">
        <v>78</v>
      </c>
      <c r="O72" s="55"/>
      <c r="P72" s="75"/>
      <c r="Q72" s="418">
        <f>MEDIAN(Q9:Q69)</f>
        <v>23.2</v>
      </c>
      <c r="R72" s="418">
        <f>MEDIAN(R9:R69)</f>
        <v>32.299999999999997</v>
      </c>
      <c r="S72" s="56">
        <f>S71/F68</f>
        <v>15.722768876497316</v>
      </c>
      <c r="T72" s="50"/>
      <c r="U72" s="418">
        <f>MEDIAN(U9:U69)</f>
        <v>25</v>
      </c>
      <c r="V72" s="418">
        <f>MEDIAN(V9:V69)</f>
        <v>32.950000000000003</v>
      </c>
      <c r="W72" s="56">
        <f>W71/J68</f>
        <v>16</v>
      </c>
      <c r="X72" s="56">
        <f>X71/K68</f>
        <v>10.205624703784093</v>
      </c>
      <c r="Y72" s="56">
        <f>Y71/L68</f>
        <v>11.459724559984181</v>
      </c>
      <c r="AC72" s="14" t="s">
        <v>0</v>
      </c>
      <c r="AD72" s="69">
        <v>580</v>
      </c>
      <c r="AE72" s="69">
        <v>1024</v>
      </c>
      <c r="AG72" s="15" t="s">
        <v>0</v>
      </c>
      <c r="AH72" s="20">
        <v>955</v>
      </c>
      <c r="AI72" s="20">
        <v>8192</v>
      </c>
      <c r="AK72" s="79" t="s">
        <v>0</v>
      </c>
      <c r="AL72" s="69">
        <v>955</v>
      </c>
      <c r="AM72" s="69">
        <v>256</v>
      </c>
    </row>
    <row r="73" spans="1:45" x14ac:dyDescent="0.35">
      <c r="D73" s="25"/>
      <c r="Q73" s="25"/>
      <c r="R73" s="25"/>
      <c r="U73" s="25"/>
      <c r="AC73" s="14" t="s">
        <v>0</v>
      </c>
      <c r="AD73" s="69">
        <v>580</v>
      </c>
      <c r="AE73" s="69">
        <v>64</v>
      </c>
      <c r="AG73" s="15" t="s">
        <v>0</v>
      </c>
      <c r="AH73" s="20">
        <v>30574</v>
      </c>
      <c r="AI73" s="20"/>
      <c r="AK73" s="79" t="s">
        <v>0</v>
      </c>
      <c r="AL73" s="69">
        <v>30574</v>
      </c>
      <c r="AM73" s="69">
        <v>4096</v>
      </c>
    </row>
    <row r="74" spans="1:45" x14ac:dyDescent="0.35">
      <c r="D74" s="25"/>
      <c r="AC74" s="14" t="s">
        <v>0</v>
      </c>
      <c r="AD74" s="69">
        <v>355626</v>
      </c>
      <c r="AE74" s="69">
        <v>1024</v>
      </c>
      <c r="AG74" s="15" t="s">
        <v>0</v>
      </c>
      <c r="AH74" s="20">
        <v>274</v>
      </c>
      <c r="AI74" s="20">
        <v>32</v>
      </c>
      <c r="AK74" s="79" t="s">
        <v>0</v>
      </c>
      <c r="AL74" s="69">
        <v>274</v>
      </c>
      <c r="AM74" s="69"/>
    </row>
    <row r="75" spans="1:45" x14ac:dyDescent="0.35">
      <c r="D75" s="25"/>
      <c r="AC75" s="14" t="s">
        <v>0</v>
      </c>
      <c r="AD75" s="69">
        <v>355626</v>
      </c>
      <c r="AE75" s="69">
        <v>32768</v>
      </c>
      <c r="AG75" s="15" t="s">
        <v>0</v>
      </c>
      <c r="AH75" s="20">
        <v>20171</v>
      </c>
      <c r="AI75" s="20">
        <v>8192</v>
      </c>
      <c r="AK75" s="79" t="s">
        <v>0</v>
      </c>
      <c r="AL75" s="69">
        <v>20171</v>
      </c>
      <c r="AM75" s="69"/>
    </row>
    <row r="76" spans="1:45" x14ac:dyDescent="0.35">
      <c r="D76" s="25"/>
      <c r="AC76" s="14" t="s">
        <v>0</v>
      </c>
      <c r="AD76" s="69">
        <v>320508</v>
      </c>
      <c r="AE76" s="69">
        <v>64</v>
      </c>
      <c r="AG76" s="15" t="s">
        <v>0</v>
      </c>
      <c r="AH76" s="20">
        <v>2048</v>
      </c>
      <c r="AI76" s="20">
        <v>14</v>
      </c>
      <c r="AK76" s="79" t="s">
        <v>0</v>
      </c>
      <c r="AL76" s="69">
        <v>2048</v>
      </c>
      <c r="AM76" s="69"/>
    </row>
    <row r="77" spans="1:45" x14ac:dyDescent="0.35">
      <c r="AC77" s="14" t="s">
        <v>0</v>
      </c>
      <c r="AD77" s="69">
        <v>2097152</v>
      </c>
      <c r="AE77" s="69">
        <v>16384</v>
      </c>
      <c r="AG77" s="15" t="s">
        <v>0</v>
      </c>
      <c r="AH77" s="20">
        <v>185364</v>
      </c>
      <c r="AI77" s="20">
        <v>16384</v>
      </c>
      <c r="AK77" s="79" t="s">
        <v>0</v>
      </c>
      <c r="AL77" s="69">
        <v>185364</v>
      </c>
      <c r="AM77" s="69"/>
    </row>
    <row r="78" spans="1:45" x14ac:dyDescent="0.35">
      <c r="AC78" s="14" t="s">
        <v>0</v>
      </c>
      <c r="AD78" s="69">
        <v>2097152</v>
      </c>
      <c r="AE78" s="69">
        <v>2048</v>
      </c>
      <c r="AG78" s="15" t="s">
        <v>0</v>
      </c>
      <c r="AH78" s="20">
        <v>239</v>
      </c>
      <c r="AI78" s="20">
        <v>3566</v>
      </c>
      <c r="AK78" s="79" t="s">
        <v>0</v>
      </c>
      <c r="AL78" s="69">
        <v>239</v>
      </c>
      <c r="AM78" s="69"/>
    </row>
    <row r="79" spans="1:45" x14ac:dyDescent="0.35">
      <c r="AC79" s="14" t="s">
        <v>0</v>
      </c>
      <c r="AD79" s="69">
        <v>2048</v>
      </c>
      <c r="AE79" s="69">
        <v>8192</v>
      </c>
      <c r="AG79" s="15" t="s">
        <v>0</v>
      </c>
      <c r="AH79" s="20">
        <v>4096</v>
      </c>
      <c r="AI79" s="20">
        <v>15</v>
      </c>
      <c r="AK79" s="79" t="s">
        <v>0</v>
      </c>
      <c r="AL79" s="69">
        <v>4096</v>
      </c>
      <c r="AM79" s="69"/>
    </row>
    <row r="80" spans="1:45" x14ac:dyDescent="0.35">
      <c r="AC80" s="14" t="s">
        <v>0</v>
      </c>
      <c r="AD80" s="69">
        <v>546552</v>
      </c>
      <c r="AE80" s="69">
        <v>16384</v>
      </c>
      <c r="AG80" s="15" t="s">
        <v>0</v>
      </c>
      <c r="AH80" s="20">
        <v>776</v>
      </c>
      <c r="AI80" s="20">
        <v>97</v>
      </c>
      <c r="AK80" s="79" t="s">
        <v>0</v>
      </c>
      <c r="AL80" s="69">
        <v>776</v>
      </c>
      <c r="AM80" s="69"/>
    </row>
    <row r="81" spans="29:39" x14ac:dyDescent="0.35">
      <c r="AC81" s="14" t="s">
        <v>0</v>
      </c>
      <c r="AD81" s="69">
        <v>546552</v>
      </c>
      <c r="AE81" s="69">
        <v>4096</v>
      </c>
      <c r="AG81" s="15" t="s">
        <v>0</v>
      </c>
      <c r="AH81" s="20">
        <v>17560</v>
      </c>
      <c r="AI81" s="20">
        <v>131072</v>
      </c>
      <c r="AK81" s="79" t="s">
        <v>0</v>
      </c>
      <c r="AL81" s="69">
        <v>17560</v>
      </c>
      <c r="AM81" s="69">
        <v>8192</v>
      </c>
    </row>
    <row r="82" spans="29:39" x14ac:dyDescent="0.35">
      <c r="AC82" s="14" t="s">
        <v>0</v>
      </c>
      <c r="AD82" s="69">
        <v>262144</v>
      </c>
      <c r="AE82" s="69">
        <v>65536</v>
      </c>
      <c r="AG82" s="15" t="s">
        <v>0</v>
      </c>
      <c r="AH82" s="20">
        <v>32768</v>
      </c>
      <c r="AI82" s="20">
        <v>891</v>
      </c>
      <c r="AK82" s="79" t="s">
        <v>0</v>
      </c>
      <c r="AL82" s="69">
        <v>32768</v>
      </c>
      <c r="AM82" s="69">
        <v>65536</v>
      </c>
    </row>
    <row r="83" spans="29:39" x14ac:dyDescent="0.35">
      <c r="AC83" s="14" t="s">
        <v>0</v>
      </c>
      <c r="AD83" s="69">
        <v>7231</v>
      </c>
      <c r="AE83" s="69">
        <v>4096</v>
      </c>
      <c r="AG83" s="15" t="s">
        <v>0</v>
      </c>
      <c r="AH83" s="20">
        <v>8780</v>
      </c>
      <c r="AI83" s="20">
        <v>128</v>
      </c>
      <c r="AK83" s="79" t="s">
        <v>0</v>
      </c>
      <c r="AL83" s="69">
        <v>8780</v>
      </c>
      <c r="AM83" s="69"/>
    </row>
    <row r="84" spans="29:39" x14ac:dyDescent="0.35">
      <c r="AC84" s="14" t="s">
        <v>0</v>
      </c>
      <c r="AD84" s="69">
        <v>0.4</v>
      </c>
      <c r="AE84" s="69">
        <v>32768</v>
      </c>
      <c r="AG84" s="15" t="s">
        <v>0</v>
      </c>
      <c r="AH84" s="20">
        <v>3956</v>
      </c>
      <c r="AI84" s="20">
        <v>1048576</v>
      </c>
      <c r="AK84" s="79" t="s">
        <v>0</v>
      </c>
      <c r="AL84" s="69">
        <v>3956</v>
      </c>
      <c r="AM84" s="69">
        <v>65536</v>
      </c>
    </row>
    <row r="85" spans="29:39" x14ac:dyDescent="0.35">
      <c r="AC85" s="14" t="s">
        <v>0</v>
      </c>
      <c r="AD85" s="69">
        <v>27746</v>
      </c>
      <c r="AE85" s="69">
        <v>512</v>
      </c>
      <c r="AG85" s="15" t="s">
        <v>0</v>
      </c>
      <c r="AH85" s="20">
        <v>128</v>
      </c>
      <c r="AI85" s="20">
        <v>6208</v>
      </c>
      <c r="AK85" s="79" t="s">
        <v>0</v>
      </c>
      <c r="AL85" s="69">
        <v>128</v>
      </c>
      <c r="AM85" s="69"/>
    </row>
    <row r="86" spans="29:39" x14ac:dyDescent="0.35">
      <c r="AC86" s="14" t="s">
        <v>0</v>
      </c>
      <c r="AD86" s="69">
        <v>256</v>
      </c>
      <c r="AE86" s="69">
        <v>8192</v>
      </c>
      <c r="AG86" s="15" t="s">
        <v>0</v>
      </c>
      <c r="AH86" s="20">
        <v>13</v>
      </c>
      <c r="AI86" s="20">
        <v>2048</v>
      </c>
      <c r="AK86" s="79" t="s">
        <v>0</v>
      </c>
      <c r="AL86" s="69">
        <v>13</v>
      </c>
      <c r="AM86" s="69">
        <v>65536</v>
      </c>
    </row>
    <row r="87" spans="29:39" x14ac:dyDescent="0.35">
      <c r="AC87" s="14" t="s">
        <v>0</v>
      </c>
      <c r="AD87" s="69">
        <v>256</v>
      </c>
      <c r="AE87" s="69">
        <v>2048</v>
      </c>
      <c r="AG87" s="15" t="s">
        <v>0</v>
      </c>
      <c r="AH87" s="20">
        <v>6654</v>
      </c>
      <c r="AI87" s="20">
        <v>262144</v>
      </c>
      <c r="AK87" s="79" t="s">
        <v>0</v>
      </c>
      <c r="AL87" s="69">
        <v>6654</v>
      </c>
      <c r="AM87" s="69">
        <v>131072</v>
      </c>
    </row>
    <row r="88" spans="29:39" x14ac:dyDescent="0.35">
      <c r="AC88" s="14" t="s">
        <v>0</v>
      </c>
      <c r="AD88" s="69">
        <v>3822</v>
      </c>
      <c r="AE88" s="69">
        <v>16384</v>
      </c>
      <c r="AG88" s="15" t="s">
        <v>0</v>
      </c>
      <c r="AH88" s="20">
        <v>6</v>
      </c>
      <c r="AI88" s="20">
        <v>1783</v>
      </c>
      <c r="AK88" s="79" t="s">
        <v>0</v>
      </c>
      <c r="AL88" s="69">
        <v>6</v>
      </c>
      <c r="AM88" s="69"/>
    </row>
    <row r="89" spans="29:39" x14ac:dyDescent="0.35">
      <c r="AC89" s="14" t="s">
        <v>0</v>
      </c>
      <c r="AD89" s="69">
        <v>955</v>
      </c>
      <c r="AE89" s="69">
        <v>256</v>
      </c>
      <c r="AG89" s="15" t="s">
        <v>0</v>
      </c>
      <c r="AH89" s="20">
        <v>4194304</v>
      </c>
      <c r="AI89" s="20"/>
      <c r="AK89" s="79" t="s">
        <v>0</v>
      </c>
      <c r="AL89" s="69">
        <v>4194304</v>
      </c>
      <c r="AM89" s="69">
        <v>65536</v>
      </c>
    </row>
    <row r="90" spans="29:39" x14ac:dyDescent="0.35">
      <c r="AC90" s="14" t="s">
        <v>0</v>
      </c>
      <c r="AD90" s="69">
        <v>955</v>
      </c>
      <c r="AE90" s="69">
        <v>8192</v>
      </c>
      <c r="AG90" s="15" t="s">
        <v>0</v>
      </c>
      <c r="AH90" s="20">
        <v>49667</v>
      </c>
      <c r="AI90" s="20"/>
      <c r="AK90" s="79" t="s">
        <v>0</v>
      </c>
      <c r="AL90" s="69">
        <v>49667</v>
      </c>
      <c r="AM90" s="69">
        <v>262144</v>
      </c>
    </row>
    <row r="91" spans="29:39" x14ac:dyDescent="0.35">
      <c r="AC91" s="14" t="s">
        <v>0</v>
      </c>
      <c r="AD91" s="69">
        <v>30574</v>
      </c>
      <c r="AE91" s="69">
        <v>4096</v>
      </c>
      <c r="AG91" s="15" t="s">
        <v>0</v>
      </c>
      <c r="AH91" s="20">
        <v>30574</v>
      </c>
      <c r="AI91" s="20"/>
      <c r="AK91" s="79" t="s">
        <v>0</v>
      </c>
      <c r="AL91" s="69">
        <v>30574</v>
      </c>
      <c r="AM91" s="69"/>
    </row>
    <row r="92" spans="29:39" x14ac:dyDescent="0.35">
      <c r="AC92" s="14" t="s">
        <v>0</v>
      </c>
      <c r="AD92" s="69">
        <v>274</v>
      </c>
      <c r="AE92" s="69">
        <v>32</v>
      </c>
      <c r="AG92" s="15" t="s">
        <v>0</v>
      </c>
      <c r="AH92" s="20">
        <v>24834</v>
      </c>
      <c r="AI92" s="20"/>
      <c r="AK92" s="79" t="s">
        <v>0</v>
      </c>
      <c r="AL92" s="69">
        <v>24834</v>
      </c>
      <c r="AM92" s="69"/>
    </row>
    <row r="93" spans="29:39" x14ac:dyDescent="0.35">
      <c r="AC93" s="14" t="s">
        <v>0</v>
      </c>
      <c r="AD93" s="69">
        <v>20171</v>
      </c>
      <c r="AE93" s="69">
        <v>8192</v>
      </c>
      <c r="AG93" s="15" t="s">
        <v>0</v>
      </c>
      <c r="AH93" s="20">
        <v>2702</v>
      </c>
      <c r="AI93" s="20">
        <v>8192</v>
      </c>
      <c r="AK93" s="79" t="s">
        <v>0</v>
      </c>
      <c r="AL93" s="69">
        <v>2702</v>
      </c>
      <c r="AM93" s="69">
        <v>32768</v>
      </c>
    </row>
    <row r="94" spans="29:39" x14ac:dyDescent="0.35">
      <c r="AC94" s="14" t="s">
        <v>0</v>
      </c>
      <c r="AD94" s="69">
        <v>2048</v>
      </c>
      <c r="AE94" s="69">
        <v>14</v>
      </c>
      <c r="AG94" s="15" t="s">
        <v>0</v>
      </c>
      <c r="AH94" s="20">
        <v>388</v>
      </c>
      <c r="AI94" s="20">
        <v>1</v>
      </c>
      <c r="AK94" s="79" t="s">
        <v>0</v>
      </c>
      <c r="AL94" s="69">
        <v>388</v>
      </c>
      <c r="AM94" s="69"/>
    </row>
    <row r="95" spans="29:39" x14ac:dyDescent="0.35">
      <c r="AC95" s="14" t="s">
        <v>0</v>
      </c>
      <c r="AD95" s="69">
        <v>185364</v>
      </c>
      <c r="AE95" s="69">
        <v>16384</v>
      </c>
      <c r="AG95" s="15" t="s">
        <v>0</v>
      </c>
      <c r="AH95" s="20">
        <v>1097</v>
      </c>
      <c r="AI95" s="20">
        <v>524288</v>
      </c>
      <c r="AK95" s="79" t="s">
        <v>0</v>
      </c>
      <c r="AL95" s="69">
        <v>1097</v>
      </c>
      <c r="AM95" s="69"/>
    </row>
    <row r="96" spans="29:39" x14ac:dyDescent="0.35">
      <c r="AC96" s="14" t="s">
        <v>0</v>
      </c>
      <c r="AD96" s="69">
        <v>239</v>
      </c>
      <c r="AE96" s="69">
        <v>3566</v>
      </c>
      <c r="AG96" s="15" t="s">
        <v>0</v>
      </c>
      <c r="AH96" s="20">
        <v>1261</v>
      </c>
      <c r="AI96" s="20">
        <v>4</v>
      </c>
      <c r="AK96" s="79" t="s">
        <v>0</v>
      </c>
      <c r="AL96" s="69">
        <v>1261</v>
      </c>
      <c r="AM96" s="69"/>
    </row>
    <row r="97" spans="29:39" x14ac:dyDescent="0.35">
      <c r="AC97" s="14" t="s">
        <v>0</v>
      </c>
      <c r="AD97" s="69">
        <v>4096</v>
      </c>
      <c r="AE97" s="69">
        <v>15</v>
      </c>
      <c r="AG97" s="15" t="s">
        <v>0</v>
      </c>
      <c r="AH97" s="20">
        <v>4973</v>
      </c>
      <c r="AI97" s="20"/>
      <c r="AK97" s="79" t="s">
        <v>0</v>
      </c>
      <c r="AL97" s="69">
        <v>4973</v>
      </c>
      <c r="AM97" s="69">
        <v>9410</v>
      </c>
    </row>
    <row r="98" spans="29:39" x14ac:dyDescent="0.35">
      <c r="AC98" s="14" t="s">
        <v>0</v>
      </c>
      <c r="AD98" s="69">
        <v>776</v>
      </c>
      <c r="AE98" s="69">
        <v>97</v>
      </c>
      <c r="AG98" s="15" t="s">
        <v>0</v>
      </c>
      <c r="AH98" s="20">
        <v>208</v>
      </c>
      <c r="AI98" s="20"/>
      <c r="AK98" s="79" t="s">
        <v>0</v>
      </c>
      <c r="AL98" s="69">
        <v>208</v>
      </c>
      <c r="AM98" s="69">
        <v>2048</v>
      </c>
    </row>
    <row r="99" spans="29:39" x14ac:dyDescent="0.35">
      <c r="AC99" s="14" t="s">
        <v>0</v>
      </c>
      <c r="AD99" s="69">
        <v>17560</v>
      </c>
      <c r="AE99" s="69">
        <v>8192</v>
      </c>
      <c r="AG99" s="15" t="s">
        <v>0</v>
      </c>
      <c r="AH99" s="20">
        <v>5</v>
      </c>
      <c r="AI99" s="20">
        <v>64</v>
      </c>
      <c r="AK99" s="79" t="s">
        <v>0</v>
      </c>
      <c r="AL99" s="69">
        <v>5</v>
      </c>
      <c r="AM99" s="69"/>
    </row>
    <row r="100" spans="29:39" x14ac:dyDescent="0.35">
      <c r="AC100" s="14" t="s">
        <v>0</v>
      </c>
      <c r="AD100" s="69">
        <v>17560</v>
      </c>
      <c r="AE100" s="69">
        <v>131072</v>
      </c>
      <c r="AG100" s="15" t="s">
        <v>0</v>
      </c>
      <c r="AH100" s="20">
        <v>724</v>
      </c>
      <c r="AI100" s="20"/>
      <c r="AK100" s="79" t="s">
        <v>0</v>
      </c>
      <c r="AL100" s="69">
        <v>724</v>
      </c>
      <c r="AM100" s="69">
        <v>2048</v>
      </c>
    </row>
    <row r="101" spans="29:39" x14ac:dyDescent="0.35">
      <c r="AC101" s="14" t="s">
        <v>0</v>
      </c>
      <c r="AD101" s="69">
        <v>32768</v>
      </c>
      <c r="AE101" s="69">
        <v>65536</v>
      </c>
      <c r="AG101" s="15" t="s">
        <v>0</v>
      </c>
      <c r="AH101" s="20">
        <v>9</v>
      </c>
      <c r="AI101" s="20">
        <v>131072</v>
      </c>
      <c r="AK101" s="79" t="s">
        <v>0</v>
      </c>
      <c r="AL101" s="69">
        <v>9</v>
      </c>
      <c r="AM101" s="69"/>
    </row>
    <row r="102" spans="29:39" x14ac:dyDescent="0.35">
      <c r="AC102" s="14" t="s">
        <v>0</v>
      </c>
      <c r="AD102" s="69">
        <v>32768</v>
      </c>
      <c r="AE102" s="69">
        <v>891</v>
      </c>
      <c r="AG102" s="15" t="s">
        <v>0</v>
      </c>
      <c r="AH102" s="20">
        <v>30574</v>
      </c>
      <c r="AI102" s="20"/>
      <c r="AK102" s="79" t="s">
        <v>0</v>
      </c>
      <c r="AL102" s="69">
        <v>30574</v>
      </c>
      <c r="AM102" s="69">
        <v>16384</v>
      </c>
    </row>
    <row r="103" spans="29:39" x14ac:dyDescent="0.35">
      <c r="AC103" s="14" t="s">
        <v>0</v>
      </c>
      <c r="AD103" s="69">
        <v>8780</v>
      </c>
      <c r="AE103" s="69">
        <v>128</v>
      </c>
      <c r="AG103" s="15" t="s">
        <v>0</v>
      </c>
      <c r="AH103" s="20">
        <v>114</v>
      </c>
      <c r="AI103" s="20">
        <v>8192</v>
      </c>
      <c r="AK103" s="79" t="s">
        <v>0</v>
      </c>
      <c r="AL103" s="69">
        <v>114</v>
      </c>
      <c r="AM103" s="69"/>
    </row>
    <row r="104" spans="29:39" x14ac:dyDescent="0.35">
      <c r="AC104" s="14" t="s">
        <v>0</v>
      </c>
      <c r="AD104" s="69">
        <v>3956</v>
      </c>
      <c r="AE104" s="69">
        <v>65536</v>
      </c>
      <c r="AG104" s="15" t="s">
        <v>0</v>
      </c>
      <c r="AH104" s="20">
        <v>2320</v>
      </c>
      <c r="AI104" s="20"/>
      <c r="AK104" s="79" t="s">
        <v>0</v>
      </c>
      <c r="AL104" s="69">
        <v>2320</v>
      </c>
      <c r="AM104" s="69">
        <v>0.3</v>
      </c>
    </row>
    <row r="105" spans="29:39" x14ac:dyDescent="0.35">
      <c r="AC105" s="14" t="s">
        <v>0</v>
      </c>
      <c r="AD105" s="69">
        <v>3956</v>
      </c>
      <c r="AE105" s="69">
        <v>1048576</v>
      </c>
    </row>
    <row r="106" spans="29:39" x14ac:dyDescent="0.35">
      <c r="AC106" s="14" t="s">
        <v>0</v>
      </c>
      <c r="AD106" s="69">
        <v>128</v>
      </c>
      <c r="AE106" s="69">
        <v>6208</v>
      </c>
    </row>
    <row r="107" spans="29:39" x14ac:dyDescent="0.35">
      <c r="AC107" s="14" t="s">
        <v>0</v>
      </c>
      <c r="AD107" s="69">
        <v>13</v>
      </c>
      <c r="AE107" s="69">
        <v>65536</v>
      </c>
    </row>
    <row r="108" spans="29:39" x14ac:dyDescent="0.35">
      <c r="AC108" s="14" t="s">
        <v>0</v>
      </c>
      <c r="AD108" s="69">
        <v>13</v>
      </c>
      <c r="AE108" s="69">
        <v>2048</v>
      </c>
    </row>
    <row r="109" spans="29:39" x14ac:dyDescent="0.35">
      <c r="AC109" s="14" t="s">
        <v>0</v>
      </c>
      <c r="AD109" s="69">
        <v>6654</v>
      </c>
      <c r="AE109" s="69">
        <v>131072</v>
      </c>
    </row>
    <row r="110" spans="29:39" x14ac:dyDescent="0.35">
      <c r="AC110" s="14" t="s">
        <v>0</v>
      </c>
      <c r="AD110" s="69">
        <v>6654</v>
      </c>
      <c r="AE110" s="69">
        <v>262144</v>
      </c>
    </row>
    <row r="111" spans="29:39" x14ac:dyDescent="0.35">
      <c r="AC111" s="14" t="s">
        <v>0</v>
      </c>
      <c r="AD111" s="69">
        <v>6</v>
      </c>
      <c r="AE111" s="69">
        <v>1783</v>
      </c>
    </row>
    <row r="112" spans="29:39" x14ac:dyDescent="0.35">
      <c r="AC112" s="14" t="s">
        <v>0</v>
      </c>
      <c r="AD112" s="69">
        <v>4194304</v>
      </c>
      <c r="AE112" s="69">
        <v>65536</v>
      </c>
    </row>
    <row r="113" spans="29:31" x14ac:dyDescent="0.35">
      <c r="AC113" s="14" t="s">
        <v>0</v>
      </c>
      <c r="AD113" s="69">
        <v>49667</v>
      </c>
      <c r="AE113" s="69">
        <v>262144</v>
      </c>
    </row>
    <row r="114" spans="29:31" x14ac:dyDescent="0.35">
      <c r="AC114" s="14" t="s">
        <v>0</v>
      </c>
      <c r="AD114" s="69">
        <v>30574</v>
      </c>
      <c r="AE114" s="69">
        <v>512</v>
      </c>
    </row>
    <row r="115" spans="29:31" x14ac:dyDescent="0.35">
      <c r="AC115" s="14" t="s">
        <v>0</v>
      </c>
      <c r="AD115" s="69">
        <v>24834</v>
      </c>
      <c r="AE115" s="69">
        <v>52</v>
      </c>
    </row>
    <row r="116" spans="29:31" x14ac:dyDescent="0.35">
      <c r="AC116" s="14" t="s">
        <v>0</v>
      </c>
      <c r="AD116" s="69">
        <v>2702</v>
      </c>
      <c r="AE116" s="69">
        <v>32768</v>
      </c>
    </row>
    <row r="117" spans="29:31" x14ac:dyDescent="0.35">
      <c r="AC117" s="14" t="s">
        <v>0</v>
      </c>
      <c r="AD117" s="69">
        <v>2702</v>
      </c>
      <c r="AE117" s="69">
        <v>8192</v>
      </c>
    </row>
    <row r="118" spans="29:31" x14ac:dyDescent="0.35">
      <c r="AC118" s="14" t="s">
        <v>0</v>
      </c>
      <c r="AD118" s="69">
        <v>388</v>
      </c>
      <c r="AE118" s="69">
        <v>1</v>
      </c>
    </row>
    <row r="119" spans="29:31" x14ac:dyDescent="0.35">
      <c r="AC119" s="14" t="s">
        <v>0</v>
      </c>
      <c r="AD119" s="69">
        <v>1097</v>
      </c>
      <c r="AE119" s="69">
        <v>524288</v>
      </c>
    </row>
    <row r="120" spans="29:31" x14ac:dyDescent="0.35">
      <c r="AC120" s="14" t="s">
        <v>0</v>
      </c>
      <c r="AD120" s="69">
        <v>1261</v>
      </c>
      <c r="AE120" s="69">
        <v>4</v>
      </c>
    </row>
    <row r="121" spans="29:31" x14ac:dyDescent="0.35">
      <c r="AC121" s="14" t="s">
        <v>0</v>
      </c>
      <c r="AD121" s="69">
        <v>4973</v>
      </c>
      <c r="AE121" s="69">
        <v>9410.1</v>
      </c>
    </row>
    <row r="122" spans="29:31" x14ac:dyDescent="0.35">
      <c r="AC122" s="14" t="s">
        <v>0</v>
      </c>
      <c r="AD122" s="69">
        <v>208</v>
      </c>
      <c r="AE122" s="69">
        <v>2048</v>
      </c>
    </row>
    <row r="123" spans="29:31" x14ac:dyDescent="0.35">
      <c r="AC123" s="14" t="s">
        <v>0</v>
      </c>
      <c r="AD123" s="69">
        <v>5</v>
      </c>
      <c r="AE123" s="69">
        <v>64</v>
      </c>
    </row>
    <row r="124" spans="29:31" x14ac:dyDescent="0.35">
      <c r="AC124" s="14" t="s">
        <v>0</v>
      </c>
      <c r="AD124" s="69">
        <v>724</v>
      </c>
      <c r="AE124" s="69">
        <v>2048</v>
      </c>
    </row>
    <row r="125" spans="29:31" x14ac:dyDescent="0.35">
      <c r="AC125" s="14" t="s">
        <v>0</v>
      </c>
      <c r="AD125" s="69">
        <v>9</v>
      </c>
      <c r="AE125" s="69">
        <v>131072</v>
      </c>
    </row>
    <row r="126" spans="29:31" x14ac:dyDescent="0.35">
      <c r="AC126" s="14" t="s">
        <v>0</v>
      </c>
      <c r="AD126" s="69">
        <v>30574</v>
      </c>
      <c r="AE126" s="69">
        <v>16384</v>
      </c>
    </row>
    <row r="127" spans="29:31" x14ac:dyDescent="0.35">
      <c r="AC127" s="14" t="s">
        <v>0</v>
      </c>
      <c r="AD127" s="69">
        <v>114</v>
      </c>
      <c r="AE127" s="69">
        <v>8192</v>
      </c>
    </row>
    <row r="128" spans="29:31" x14ac:dyDescent="0.35">
      <c r="AC128" s="14" t="s">
        <v>0</v>
      </c>
      <c r="AD128" s="69">
        <v>2320</v>
      </c>
      <c r="AE128" s="69">
        <v>0.3</v>
      </c>
    </row>
  </sheetData>
  <mergeCells count="167">
    <mergeCell ref="AP2:AX2"/>
    <mergeCell ref="AS3:AS4"/>
    <mergeCell ref="AX3:AX4"/>
    <mergeCell ref="S56:S57"/>
    <mergeCell ref="N56:N57"/>
    <mergeCell ref="O56:O57"/>
    <mergeCell ref="P56:P57"/>
    <mergeCell ref="Q56:Q57"/>
    <mergeCell ref="R56:R57"/>
    <mergeCell ref="S47:S48"/>
    <mergeCell ref="N49:N50"/>
    <mergeCell ref="O49:O50"/>
    <mergeCell ref="P49:P50"/>
    <mergeCell ref="Q49:Q50"/>
    <mergeCell ref="R49:R50"/>
    <mergeCell ref="S49:S50"/>
    <mergeCell ref="N47:N48"/>
    <mergeCell ref="O47:O48"/>
    <mergeCell ref="P47:P48"/>
    <mergeCell ref="Q47:Q48"/>
    <mergeCell ref="R47:R48"/>
    <mergeCell ref="S41:S42"/>
    <mergeCell ref="N44:N45"/>
    <mergeCell ref="O44:O45"/>
    <mergeCell ref="P44:P45"/>
    <mergeCell ref="Q44:Q45"/>
    <mergeCell ref="R44:R45"/>
    <mergeCell ref="S44:S45"/>
    <mergeCell ref="N41:N42"/>
    <mergeCell ref="O41:O42"/>
    <mergeCell ref="P41:P42"/>
    <mergeCell ref="Q41:Q42"/>
    <mergeCell ref="R41:R42"/>
    <mergeCell ref="Q29:Q30"/>
    <mergeCell ref="R29:R30"/>
    <mergeCell ref="S29:S30"/>
    <mergeCell ref="N39:N40"/>
    <mergeCell ref="O39:O40"/>
    <mergeCell ref="P39:P40"/>
    <mergeCell ref="Q39:Q40"/>
    <mergeCell ref="R39:R40"/>
    <mergeCell ref="S39:S40"/>
    <mergeCell ref="R20:R21"/>
    <mergeCell ref="S20:S21"/>
    <mergeCell ref="N26:N27"/>
    <mergeCell ref="O26:O27"/>
    <mergeCell ref="P26:P27"/>
    <mergeCell ref="Q26:Q27"/>
    <mergeCell ref="R26:R27"/>
    <mergeCell ref="S26:S27"/>
    <mergeCell ref="R14:R15"/>
    <mergeCell ref="S14:S15"/>
    <mergeCell ref="N17:N18"/>
    <mergeCell ref="O17:O18"/>
    <mergeCell ref="P17:P18"/>
    <mergeCell ref="Q17:Q18"/>
    <mergeCell ref="R17:R18"/>
    <mergeCell ref="S17:S18"/>
    <mergeCell ref="R5:R6"/>
    <mergeCell ref="S5:S6"/>
    <mergeCell ref="N12:N13"/>
    <mergeCell ref="O12:O13"/>
    <mergeCell ref="P12:P13"/>
    <mergeCell ref="Q12:Q13"/>
    <mergeCell ref="R12:R13"/>
    <mergeCell ref="S12:S13"/>
    <mergeCell ref="F61:F62"/>
    <mergeCell ref="N5:N6"/>
    <mergeCell ref="O5:O6"/>
    <mergeCell ref="P5:P6"/>
    <mergeCell ref="Q5:Q6"/>
    <mergeCell ref="N14:N15"/>
    <mergeCell ref="O14:O15"/>
    <mergeCell ref="P14:P15"/>
    <mergeCell ref="Q14:Q15"/>
    <mergeCell ref="N20:N21"/>
    <mergeCell ref="O20:O21"/>
    <mergeCell ref="P20:P21"/>
    <mergeCell ref="Q20:Q21"/>
    <mergeCell ref="N29:N30"/>
    <mergeCell ref="O29:O30"/>
    <mergeCell ref="P29:P30"/>
    <mergeCell ref="A61:A62"/>
    <mergeCell ref="B61:B62"/>
    <mergeCell ref="C61:C62"/>
    <mergeCell ref="D61:D62"/>
    <mergeCell ref="E61:E62"/>
    <mergeCell ref="F51:F52"/>
    <mergeCell ref="A59:A60"/>
    <mergeCell ref="B59:B60"/>
    <mergeCell ref="C59:C60"/>
    <mergeCell ref="D59:D60"/>
    <mergeCell ref="E59:E60"/>
    <mergeCell ref="F59:F60"/>
    <mergeCell ref="A51:A52"/>
    <mergeCell ref="B51:B52"/>
    <mergeCell ref="C51:C52"/>
    <mergeCell ref="D51:D52"/>
    <mergeCell ref="E51:E52"/>
    <mergeCell ref="F43:F44"/>
    <mergeCell ref="A45:A46"/>
    <mergeCell ref="B45:B46"/>
    <mergeCell ref="C45:C46"/>
    <mergeCell ref="D45:D46"/>
    <mergeCell ref="E45:E46"/>
    <mergeCell ref="F45:F46"/>
    <mergeCell ref="A43:A44"/>
    <mergeCell ref="B43:B44"/>
    <mergeCell ref="C43:C44"/>
    <mergeCell ref="D43:D44"/>
    <mergeCell ref="E43:E44"/>
    <mergeCell ref="A41:A42"/>
    <mergeCell ref="B41:B42"/>
    <mergeCell ref="C41:C42"/>
    <mergeCell ref="D41:D42"/>
    <mergeCell ref="E41:E42"/>
    <mergeCell ref="F41:F42"/>
    <mergeCell ref="A29:A30"/>
    <mergeCell ref="B29:B30"/>
    <mergeCell ref="C29:C30"/>
    <mergeCell ref="D29:D30"/>
    <mergeCell ref="E29:E30"/>
    <mergeCell ref="E15:E16"/>
    <mergeCell ref="F15:F16"/>
    <mergeCell ref="A27:A28"/>
    <mergeCell ref="B27:B28"/>
    <mergeCell ref="C27:C28"/>
    <mergeCell ref="D27:D28"/>
    <mergeCell ref="E27:E28"/>
    <mergeCell ref="F27:F28"/>
    <mergeCell ref="F29:F30"/>
    <mergeCell ref="AV3:AV4"/>
    <mergeCell ref="AW3:AW4"/>
    <mergeCell ref="AU3:AU4"/>
    <mergeCell ref="O3:O4"/>
    <mergeCell ref="P3:P4"/>
    <mergeCell ref="AP3:AP4"/>
    <mergeCell ref="AQ3:AQ4"/>
    <mergeCell ref="AR3:AR4"/>
    <mergeCell ref="Q3:R3"/>
    <mergeCell ref="S3:S4"/>
    <mergeCell ref="U3:V3"/>
    <mergeCell ref="W3:Y3"/>
    <mergeCell ref="N69:O69"/>
    <mergeCell ref="N70:O70"/>
    <mergeCell ref="N71:O71"/>
    <mergeCell ref="A66:B66"/>
    <mergeCell ref="A67:B67"/>
    <mergeCell ref="A68:B68"/>
    <mergeCell ref="AC2:AM2"/>
    <mergeCell ref="A2:Y2"/>
    <mergeCell ref="A53:A55"/>
    <mergeCell ref="B53:B55"/>
    <mergeCell ref="C53:C55"/>
    <mergeCell ref="D53:D55"/>
    <mergeCell ref="A3:A4"/>
    <mergeCell ref="F3:F4"/>
    <mergeCell ref="J3:L3"/>
    <mergeCell ref="D3:E3"/>
    <mergeCell ref="C3:C4"/>
    <mergeCell ref="B3:B4"/>
    <mergeCell ref="H3:I3"/>
    <mergeCell ref="N3:N4"/>
    <mergeCell ref="A15:A16"/>
    <mergeCell ref="B15:B16"/>
    <mergeCell ref="C15:C16"/>
    <mergeCell ref="D15:D16"/>
  </mergeCells>
  <pageMargins left="0.7" right="0.7" top="0.75" bottom="0.75" header="0.3" footer="0.3"/>
  <pageSetup orientation="portrait" r:id="rId1"/>
  <ignoredErrors>
    <ignoredError sqref="G15:I15 F30:L30 G29:L29 G18:I18 F16:H16 K16:L17 F33:L60 G31:L32 F12:H12 K12:L14 G20:I20 G19:H19 K19:L19 G22:I22 G21:H21 K21:L21 F28:L28 G23:H23 K23:L23 G13:H14 K15:L15 K18:L18 K20:L20 K22:L22 G17:H17 G24:L27" formula="1"/>
    <ignoredError sqref="D5:F11 D29:E29 D13:E15 I5:J7 Q5:U5 Q10:R12 Q8:R8 E12 Q7 T6:U6 Y6 Y5 D17:E23 D31:E32 W5 W6 S7:Y7 I10:J11 J8 J9 Q9 Q19:R19 Q16 Q17 Q20 Q23:R26 Q22 D25:E27 D24 Q32:R32 Q31 Q34:R34 Q33 Q36:R38 Q35 Q39 Q41 Q46:R47 Q43 Q44 Q51:R51 Q49 Q53:R56 Q52 Q14 Q28:R29 Q58:R68" numberStoredAsText="1"/>
    <ignoredError sqref="S8:Y8 S9:Y9 S14:U14 T13:W13 Y13 S12:W12 Y12 S16:Y16 T15:W15 Y15 Y14 S19:U19 T18:W18 Y18 S17:W17 Y17 S25:Y25 T21:W21 Y21 S20:U20 Y20 S28:U28 T27:U27 Y27 S26:U26 Y26 S32:Y32 T30:W30 Y30 S29:W29 Y29 S41:U41 T40:U40 Y40 S39:U39 Y39 S43:U43 T42:W42 Y42 Y41 S46:U46 T45:U45 Y45 S44:U44 Y44 S49:U49 T48:V48 Y48 S47:U47 Y47 S51:Y51 T50:U50 Y50 Y49 S55:Y55 S54 U54 S58:Y58 T57:U57 Y57 S56:U56 Y56 S64:Y64 S63:V63 Y63 S11:U11 S10:U10 W10:Y10 W11:Y11 W14 W19:Y19 W20 S22:U22 W22:Y22 S23:U23 W23:Y23 S24:U24 W24:Y24 W26 W27 W28:Y28 S31:U31 W31:Y31 S34:Y38 S33:U33 W33:Y33 W39 W40 W41 W43:Y43 W44 W45 W46:Y46 W47 W49 W50 S53:U53 S52:U52 W52:Y52 W53:Y53 W54:Y54 W56 W57 S60:Y60 S59:U59 W59:Y59 S62:Y62 S61:U61 W61:Y61 S68:Y68 S65:U65 W65:Y65 S66:U66 W66:Y66 S67:U67 W67:Y67 I23 I21 I19 I12:J14 F31:F32 I16:I17 F29 F17:F27 J15:J23 F13:F15" numberStoredAsText="1"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75773-EAC9-4594-94A4-BB67083D1A10}">
  <dimension ref="A1:N85"/>
  <sheetViews>
    <sheetView topLeftCell="A46" zoomScale="85" zoomScaleNormal="85" workbookViewId="0">
      <selection activeCell="S74" sqref="S74"/>
    </sheetView>
  </sheetViews>
  <sheetFormatPr defaultColWidth="8.83203125" defaultRowHeight="14" x14ac:dyDescent="0.3"/>
  <cols>
    <col min="1" max="1" width="29" style="1" customWidth="1"/>
    <col min="2" max="2" width="11.1640625" style="1" customWidth="1"/>
    <col min="3" max="3" width="11" style="1" customWidth="1"/>
    <col min="4" max="4" width="11.08203125" style="1" customWidth="1"/>
    <col min="5" max="5" width="31.33203125" style="1" customWidth="1"/>
    <col min="6" max="6" width="18.75" style="1" customWidth="1"/>
    <col min="7" max="7" width="9.25" style="1" customWidth="1"/>
    <col min="8" max="8" width="29.9140625" style="1" customWidth="1"/>
    <col min="9" max="16384" width="8.83203125" style="1"/>
  </cols>
  <sheetData>
    <row r="1" spans="1:14" ht="23" x14ac:dyDescent="0.3">
      <c r="A1" s="581" t="s">
        <v>627</v>
      </c>
      <c r="B1" s="581"/>
      <c r="C1" s="581"/>
      <c r="D1" s="581"/>
      <c r="E1" s="581"/>
      <c r="F1" s="581"/>
      <c r="G1" s="581"/>
      <c r="H1" s="581"/>
      <c r="I1" s="581"/>
      <c r="J1" s="581"/>
      <c r="K1" s="581"/>
      <c r="L1" s="581"/>
      <c r="M1" s="581"/>
      <c r="N1" s="581"/>
    </row>
    <row r="2" spans="1:14" x14ac:dyDescent="0.3">
      <c r="A2" s="24"/>
      <c r="B2" s="24"/>
      <c r="C2" s="24"/>
      <c r="D2" s="24"/>
      <c r="E2" s="31"/>
      <c r="F2" s="31"/>
      <c r="G2" s="31"/>
      <c r="H2" s="31"/>
      <c r="I2" s="31"/>
      <c r="J2" s="31"/>
      <c r="K2" s="31"/>
      <c r="L2" s="31"/>
      <c r="M2" s="31"/>
      <c r="N2" s="31"/>
    </row>
    <row r="3" spans="1:14" x14ac:dyDescent="0.3">
      <c r="A3" s="231" t="s">
        <v>443</v>
      </c>
      <c r="B3" s="228" t="s">
        <v>602</v>
      </c>
      <c r="C3" s="228" t="s">
        <v>629</v>
      </c>
      <c r="D3" s="32"/>
      <c r="E3" s="227" t="s">
        <v>598</v>
      </c>
      <c r="F3" s="229" t="s">
        <v>443</v>
      </c>
      <c r="G3" s="13"/>
      <c r="H3" s="229" t="s">
        <v>443</v>
      </c>
      <c r="I3" s="228" t="s">
        <v>602</v>
      </c>
      <c r="J3" s="228" t="s">
        <v>629</v>
      </c>
    </row>
    <row r="4" spans="1:14" x14ac:dyDescent="0.3">
      <c r="A4" s="227" t="s">
        <v>607</v>
      </c>
      <c r="B4" s="198">
        <v>50</v>
      </c>
      <c r="C4" s="198">
        <v>51</v>
      </c>
      <c r="E4" s="227" t="s">
        <v>599</v>
      </c>
      <c r="F4" s="198" t="s">
        <v>629</v>
      </c>
      <c r="G4" s="29"/>
      <c r="H4" s="227" t="s">
        <v>603</v>
      </c>
      <c r="I4" s="198"/>
      <c r="J4" s="198"/>
    </row>
    <row r="5" spans="1:14" x14ac:dyDescent="0.3">
      <c r="A5" s="227"/>
      <c r="B5" s="198"/>
      <c r="C5" s="198"/>
      <c r="D5" s="10"/>
      <c r="E5" s="227" t="s">
        <v>61</v>
      </c>
      <c r="F5" s="198" t="s">
        <v>61</v>
      </c>
      <c r="G5" s="11"/>
      <c r="H5" s="227" t="s">
        <v>604</v>
      </c>
      <c r="I5" s="198"/>
      <c r="J5" s="198"/>
    </row>
    <row r="6" spans="1:14" x14ac:dyDescent="0.3">
      <c r="A6" s="227" t="s">
        <v>62</v>
      </c>
      <c r="B6" s="198">
        <v>1.4999999999999999E-2</v>
      </c>
      <c r="C6" s="198">
        <v>0.4</v>
      </c>
      <c r="D6" s="11"/>
      <c r="E6" s="227" t="s">
        <v>601</v>
      </c>
      <c r="F6" s="198" t="s">
        <v>602</v>
      </c>
      <c r="G6" s="11"/>
      <c r="H6" s="227" t="s">
        <v>605</v>
      </c>
      <c r="I6" s="198">
        <v>0.44740000000000002</v>
      </c>
      <c r="J6" s="198">
        <v>0.27660000000000001</v>
      </c>
    </row>
    <row r="7" spans="1:14" x14ac:dyDescent="0.3">
      <c r="A7" s="227" t="s">
        <v>637</v>
      </c>
      <c r="B7" s="198">
        <v>18</v>
      </c>
      <c r="C7" s="198">
        <v>388</v>
      </c>
      <c r="D7" s="11"/>
      <c r="E7" s="227" t="s">
        <v>582</v>
      </c>
      <c r="F7" s="198"/>
      <c r="G7" s="11"/>
      <c r="H7" s="227" t="s">
        <v>583</v>
      </c>
      <c r="I7" s="198" t="s">
        <v>63</v>
      </c>
      <c r="J7" s="198" t="s">
        <v>63</v>
      </c>
    </row>
    <row r="8" spans="1:14" x14ac:dyDescent="0.3">
      <c r="A8" s="227" t="s">
        <v>7</v>
      </c>
      <c r="B8" s="198">
        <v>251.5</v>
      </c>
      <c r="C8" s="198">
        <v>3956</v>
      </c>
      <c r="D8" s="11"/>
      <c r="E8" s="227" t="s">
        <v>583</v>
      </c>
      <c r="F8" s="198" t="s">
        <v>63</v>
      </c>
      <c r="G8" s="11"/>
      <c r="H8" s="227" t="s">
        <v>606</v>
      </c>
      <c r="I8" s="198" t="s">
        <v>25</v>
      </c>
      <c r="J8" s="198" t="s">
        <v>25</v>
      </c>
    </row>
    <row r="9" spans="1:14" x14ac:dyDescent="0.3">
      <c r="A9" s="227" t="s">
        <v>638</v>
      </c>
      <c r="B9" s="198">
        <v>1401</v>
      </c>
      <c r="C9" s="198">
        <v>30574</v>
      </c>
      <c r="D9" s="11"/>
      <c r="E9" s="227" t="s">
        <v>584</v>
      </c>
      <c r="F9" s="198" t="s">
        <v>67</v>
      </c>
      <c r="G9" s="11"/>
      <c r="H9" s="227" t="s">
        <v>585</v>
      </c>
      <c r="I9" s="198" t="s">
        <v>65</v>
      </c>
      <c r="J9" s="198" t="s">
        <v>65</v>
      </c>
    </row>
    <row r="10" spans="1:14" x14ac:dyDescent="0.3">
      <c r="A10" s="227" t="s">
        <v>66</v>
      </c>
      <c r="B10" s="198">
        <v>36107</v>
      </c>
      <c r="C10" s="198">
        <v>4194304</v>
      </c>
      <c r="D10" s="11"/>
      <c r="E10" s="227" t="s">
        <v>585</v>
      </c>
      <c r="F10" s="198" t="s">
        <v>65</v>
      </c>
      <c r="G10" s="11"/>
      <c r="H10" s="227"/>
      <c r="I10" s="198"/>
      <c r="J10" s="198"/>
    </row>
    <row r="11" spans="1:14" s="4" customFormat="1" x14ac:dyDescent="0.3">
      <c r="A11" s="227" t="s">
        <v>68</v>
      </c>
      <c r="B11" s="198">
        <v>36107</v>
      </c>
      <c r="C11" s="198">
        <v>4194304</v>
      </c>
      <c r="D11" s="19"/>
      <c r="E11" s="227" t="s">
        <v>586</v>
      </c>
      <c r="F11" s="198" t="s">
        <v>71</v>
      </c>
      <c r="G11" s="19"/>
      <c r="H11" s="227" t="s">
        <v>607</v>
      </c>
      <c r="I11" s="198">
        <v>50</v>
      </c>
      <c r="J11" s="198">
        <v>51</v>
      </c>
    </row>
    <row r="12" spans="1:14" x14ac:dyDescent="0.3">
      <c r="A12" s="227"/>
      <c r="B12" s="198"/>
      <c r="C12" s="198"/>
      <c r="D12" s="11"/>
      <c r="E12" s="227" t="s">
        <v>587</v>
      </c>
      <c r="F12" s="198" t="s">
        <v>72</v>
      </c>
      <c r="G12" s="11"/>
    </row>
    <row r="13" spans="1:14" x14ac:dyDescent="0.3">
      <c r="A13" s="227" t="s">
        <v>639</v>
      </c>
      <c r="B13" s="198"/>
      <c r="C13" s="198"/>
      <c r="D13" s="11"/>
      <c r="E13" s="227" t="s">
        <v>588</v>
      </c>
      <c r="F13" s="198" t="s">
        <v>647</v>
      </c>
      <c r="G13" s="11"/>
    </row>
    <row r="14" spans="1:14" x14ac:dyDescent="0.3">
      <c r="A14" s="227" t="s">
        <v>640</v>
      </c>
      <c r="B14" s="198" t="s">
        <v>641</v>
      </c>
      <c r="C14" s="198" t="s">
        <v>642</v>
      </c>
      <c r="D14" s="11"/>
      <c r="E14" s="227" t="s">
        <v>590</v>
      </c>
      <c r="F14" s="198">
        <v>638</v>
      </c>
      <c r="G14" s="11"/>
    </row>
    <row r="15" spans="1:14" s="4" customFormat="1" x14ac:dyDescent="0.3">
      <c r="A15" s="227" t="s">
        <v>643</v>
      </c>
      <c r="B15" s="198">
        <v>84</v>
      </c>
      <c r="C15" s="198">
        <v>1261</v>
      </c>
      <c r="D15" s="19"/>
      <c r="E15" s="227" t="s">
        <v>591</v>
      </c>
      <c r="F15" s="198"/>
      <c r="G15" s="19"/>
    </row>
    <row r="16" spans="1:14" x14ac:dyDescent="0.3">
      <c r="A16" s="227" t="s">
        <v>644</v>
      </c>
      <c r="B16" s="198">
        <v>516</v>
      </c>
      <c r="C16" s="198">
        <v>10885</v>
      </c>
      <c r="D16" s="11"/>
      <c r="E16" s="227" t="s">
        <v>592</v>
      </c>
      <c r="F16" s="198" t="s">
        <v>648</v>
      </c>
      <c r="G16" s="11"/>
    </row>
    <row r="17" spans="1:10" x14ac:dyDescent="0.3">
      <c r="A17" s="227"/>
      <c r="B17" s="198"/>
      <c r="C17" s="198"/>
      <c r="D17" s="11"/>
      <c r="E17" s="227" t="s">
        <v>594</v>
      </c>
      <c r="F17" s="198" t="s">
        <v>649</v>
      </c>
      <c r="G17" s="11"/>
    </row>
    <row r="18" spans="1:10" s="4" customFormat="1" x14ac:dyDescent="0.3">
      <c r="A18" s="227" t="s">
        <v>73</v>
      </c>
      <c r="B18" s="198">
        <v>3044</v>
      </c>
      <c r="C18" s="198">
        <v>168974</v>
      </c>
      <c r="D18" s="19"/>
      <c r="E18" s="227" t="s">
        <v>596</v>
      </c>
      <c r="F18" s="198">
        <v>3705</v>
      </c>
      <c r="G18" s="19"/>
    </row>
    <row r="19" spans="1:10" s="4" customFormat="1" x14ac:dyDescent="0.3">
      <c r="A19" s="227" t="s">
        <v>645</v>
      </c>
      <c r="B19" s="198">
        <v>7666</v>
      </c>
      <c r="C19" s="198">
        <v>652148</v>
      </c>
      <c r="D19" s="19"/>
      <c r="E19" s="227" t="s">
        <v>597</v>
      </c>
      <c r="F19" s="198">
        <v>2463</v>
      </c>
      <c r="G19" s="19"/>
    </row>
    <row r="20" spans="1:10" s="4" customFormat="1" x14ac:dyDescent="0.3">
      <c r="A20" s="227" t="s">
        <v>646</v>
      </c>
      <c r="B20" s="198">
        <v>1084</v>
      </c>
      <c r="C20" s="198">
        <v>91319</v>
      </c>
      <c r="D20" s="19"/>
      <c r="E20" s="227" t="s">
        <v>650</v>
      </c>
      <c r="F20" s="198" t="s">
        <v>651</v>
      </c>
      <c r="G20" s="19"/>
    </row>
    <row r="21" spans="1:10" x14ac:dyDescent="0.3">
      <c r="E21" s="227" t="s">
        <v>652</v>
      </c>
      <c r="F21" s="198" t="s">
        <v>67</v>
      </c>
    </row>
    <row r="22" spans="1:10" x14ac:dyDescent="0.3">
      <c r="E22" s="38"/>
      <c r="F22" s="34"/>
    </row>
    <row r="23" spans="1:10" x14ac:dyDescent="0.3">
      <c r="A23" s="18"/>
      <c r="B23" s="18"/>
      <c r="C23" s="18"/>
      <c r="E23" s="582"/>
      <c r="F23" s="582"/>
      <c r="H23" s="18"/>
      <c r="I23" s="10"/>
      <c r="J23" s="10"/>
    </row>
    <row r="24" spans="1:10" x14ac:dyDescent="0.3">
      <c r="A24" s="229" t="s">
        <v>654</v>
      </c>
      <c r="B24" s="228" t="s">
        <v>602</v>
      </c>
      <c r="C24" s="228" t="s">
        <v>629</v>
      </c>
      <c r="E24" s="227" t="s">
        <v>598</v>
      </c>
      <c r="F24" s="229" t="s">
        <v>654</v>
      </c>
      <c r="H24" s="229" t="s">
        <v>654</v>
      </c>
      <c r="I24" s="228" t="s">
        <v>602</v>
      </c>
      <c r="J24" s="228" t="s">
        <v>629</v>
      </c>
    </row>
    <row r="25" spans="1:10" x14ac:dyDescent="0.3">
      <c r="A25" s="227" t="s">
        <v>607</v>
      </c>
      <c r="B25" s="198">
        <v>61</v>
      </c>
      <c r="C25" s="198">
        <v>64</v>
      </c>
      <c r="E25" s="227" t="s">
        <v>599</v>
      </c>
      <c r="F25" s="198" t="s">
        <v>629</v>
      </c>
      <c r="H25" s="227" t="s">
        <v>603</v>
      </c>
      <c r="I25" s="198"/>
      <c r="J25" s="198"/>
    </row>
    <row r="26" spans="1:10" x14ac:dyDescent="0.3">
      <c r="A26" s="227"/>
      <c r="B26" s="198"/>
      <c r="C26" s="198"/>
      <c r="E26" s="227" t="s">
        <v>61</v>
      </c>
      <c r="F26" s="198" t="s">
        <v>61</v>
      </c>
      <c r="H26" s="227" t="s">
        <v>604</v>
      </c>
      <c r="I26" s="198"/>
      <c r="J26" s="198"/>
    </row>
    <row r="27" spans="1:10" x14ac:dyDescent="0.3">
      <c r="A27" s="227" t="s">
        <v>62</v>
      </c>
      <c r="B27" s="198">
        <v>5.8000000000000003E-2</v>
      </c>
      <c r="C27" s="198">
        <v>0.3</v>
      </c>
      <c r="E27" s="227" t="s">
        <v>601</v>
      </c>
      <c r="F27" s="198" t="s">
        <v>602</v>
      </c>
      <c r="H27" s="227" t="s">
        <v>605</v>
      </c>
      <c r="I27" s="198">
        <v>0.28610000000000002</v>
      </c>
      <c r="J27" s="198">
        <v>0.35930000000000001</v>
      </c>
    </row>
    <row r="28" spans="1:10" x14ac:dyDescent="0.3">
      <c r="A28" s="227" t="s">
        <v>637</v>
      </c>
      <c r="B28" s="198">
        <v>11</v>
      </c>
      <c r="C28" s="198">
        <v>512</v>
      </c>
      <c r="E28" s="227" t="s">
        <v>582</v>
      </c>
      <c r="F28" s="198"/>
      <c r="H28" s="227" t="s">
        <v>583</v>
      </c>
      <c r="I28" s="198" t="s">
        <v>63</v>
      </c>
      <c r="J28" s="198" t="s">
        <v>63</v>
      </c>
    </row>
    <row r="29" spans="1:10" x14ac:dyDescent="0.3">
      <c r="A29" s="227" t="s">
        <v>7</v>
      </c>
      <c r="B29" s="198">
        <v>256</v>
      </c>
      <c r="C29" s="198">
        <v>4096</v>
      </c>
      <c r="E29" s="227" t="s">
        <v>583</v>
      </c>
      <c r="F29" s="198" t="s">
        <v>63</v>
      </c>
      <c r="H29" s="227" t="s">
        <v>606</v>
      </c>
      <c r="I29" s="198" t="s">
        <v>25</v>
      </c>
      <c r="J29" s="198" t="s">
        <v>25</v>
      </c>
    </row>
    <row r="30" spans="1:10" x14ac:dyDescent="0.3">
      <c r="A30" s="227" t="s">
        <v>638</v>
      </c>
      <c r="B30" s="198">
        <v>3072</v>
      </c>
      <c r="C30" s="198">
        <v>28672</v>
      </c>
      <c r="E30" s="227" t="s">
        <v>584</v>
      </c>
      <c r="F30" s="198" t="s">
        <v>67</v>
      </c>
      <c r="H30" s="227" t="s">
        <v>585</v>
      </c>
      <c r="I30" s="198" t="s">
        <v>65</v>
      </c>
      <c r="J30" s="198" t="s">
        <v>65</v>
      </c>
    </row>
    <row r="31" spans="1:10" x14ac:dyDescent="0.3">
      <c r="A31" s="227" t="s">
        <v>66</v>
      </c>
      <c r="B31" s="198">
        <v>262144</v>
      </c>
      <c r="C31" s="198">
        <v>1048576</v>
      </c>
      <c r="E31" s="227" t="s">
        <v>585</v>
      </c>
      <c r="F31" s="198" t="s">
        <v>65</v>
      </c>
      <c r="H31" s="227"/>
      <c r="I31" s="198"/>
      <c r="J31" s="198"/>
    </row>
    <row r="32" spans="1:10" x14ac:dyDescent="0.3">
      <c r="A32" s="227" t="s">
        <v>68</v>
      </c>
      <c r="B32" s="198">
        <v>262144</v>
      </c>
      <c r="C32" s="198">
        <v>1048576</v>
      </c>
      <c r="E32" s="227" t="s">
        <v>586</v>
      </c>
      <c r="F32" s="198" t="s">
        <v>71</v>
      </c>
      <c r="H32" s="227" t="s">
        <v>607</v>
      </c>
      <c r="I32" s="198">
        <v>61</v>
      </c>
      <c r="J32" s="198">
        <v>64</v>
      </c>
    </row>
    <row r="33" spans="1:10" x14ac:dyDescent="0.3">
      <c r="A33" s="227"/>
      <c r="B33" s="198"/>
      <c r="C33" s="198"/>
      <c r="E33" s="227" t="s">
        <v>587</v>
      </c>
      <c r="F33" s="198" t="s">
        <v>72</v>
      </c>
    </row>
    <row r="34" spans="1:10" x14ac:dyDescent="0.3">
      <c r="A34" s="227" t="s">
        <v>639</v>
      </c>
      <c r="B34" s="198"/>
      <c r="C34" s="198"/>
      <c r="E34" s="227" t="s">
        <v>588</v>
      </c>
      <c r="F34" s="198" t="s">
        <v>655</v>
      </c>
    </row>
    <row r="35" spans="1:10" x14ac:dyDescent="0.3">
      <c r="A35" s="227" t="s">
        <v>640</v>
      </c>
      <c r="B35" s="198" t="s">
        <v>653</v>
      </c>
      <c r="C35" s="198" t="s">
        <v>641</v>
      </c>
      <c r="E35" s="227" t="s">
        <v>590</v>
      </c>
      <c r="F35" s="198">
        <v>1101</v>
      </c>
    </row>
    <row r="36" spans="1:10" x14ac:dyDescent="0.3">
      <c r="A36" s="227" t="s">
        <v>643</v>
      </c>
      <c r="B36" s="198">
        <v>32</v>
      </c>
      <c r="C36" s="198">
        <v>2048</v>
      </c>
      <c r="E36" s="227" t="s">
        <v>591</v>
      </c>
      <c r="F36" s="198"/>
    </row>
    <row r="37" spans="1:10" x14ac:dyDescent="0.3">
      <c r="A37" s="227" t="s">
        <v>644</v>
      </c>
      <c r="B37" s="198">
        <v>1024</v>
      </c>
      <c r="C37" s="198">
        <v>8192</v>
      </c>
      <c r="E37" s="227" t="s">
        <v>592</v>
      </c>
      <c r="F37" s="198" t="s">
        <v>656</v>
      </c>
    </row>
    <row r="38" spans="1:10" x14ac:dyDescent="0.3">
      <c r="A38" s="227"/>
      <c r="B38" s="198"/>
      <c r="C38" s="198"/>
      <c r="E38" s="227" t="s">
        <v>594</v>
      </c>
      <c r="F38" s="198" t="s">
        <v>657</v>
      </c>
    </row>
    <row r="39" spans="1:10" x14ac:dyDescent="0.3">
      <c r="A39" s="227" t="s">
        <v>73</v>
      </c>
      <c r="B39" s="198">
        <v>10176</v>
      </c>
      <c r="C39" s="198">
        <v>65197</v>
      </c>
      <c r="E39" s="227" t="s">
        <v>596</v>
      </c>
      <c r="F39" s="198">
        <v>3840</v>
      </c>
      <c r="H39" s="18"/>
    </row>
    <row r="40" spans="1:10" x14ac:dyDescent="0.3">
      <c r="A40" s="227" t="s">
        <v>645</v>
      </c>
      <c r="B40" s="198">
        <v>38126</v>
      </c>
      <c r="C40" s="198">
        <v>195904</v>
      </c>
      <c r="E40" s="227" t="s">
        <v>597</v>
      </c>
      <c r="F40" s="198">
        <v>2047</v>
      </c>
      <c r="H40" s="18"/>
    </row>
    <row r="41" spans="1:10" x14ac:dyDescent="0.3">
      <c r="A41" s="227" t="s">
        <v>646</v>
      </c>
      <c r="B41" s="198">
        <v>4882</v>
      </c>
      <c r="C41" s="198">
        <v>24488</v>
      </c>
      <c r="E41" s="227" t="s">
        <v>658</v>
      </c>
      <c r="F41" s="198" t="s">
        <v>659</v>
      </c>
      <c r="H41" s="18"/>
    </row>
    <row r="42" spans="1:10" ht="16" customHeight="1" x14ac:dyDescent="0.3">
      <c r="E42" s="227" t="s">
        <v>652</v>
      </c>
      <c r="F42" s="198" t="s">
        <v>67</v>
      </c>
      <c r="H42" s="18"/>
    </row>
    <row r="46" spans="1:10" x14ac:dyDescent="0.3">
      <c r="A46" s="232" t="s">
        <v>446</v>
      </c>
      <c r="B46" s="228" t="s">
        <v>602</v>
      </c>
      <c r="C46" s="228" t="s">
        <v>629</v>
      </c>
      <c r="E46" s="227" t="s">
        <v>598</v>
      </c>
      <c r="F46" s="232" t="s">
        <v>446</v>
      </c>
      <c r="H46" s="232" t="s">
        <v>446</v>
      </c>
      <c r="I46" s="228" t="s">
        <v>602</v>
      </c>
      <c r="J46" s="228" t="s">
        <v>629</v>
      </c>
    </row>
    <row r="47" spans="1:10" x14ac:dyDescent="0.3">
      <c r="A47" s="227" t="s">
        <v>607</v>
      </c>
      <c r="B47" s="198">
        <v>42</v>
      </c>
      <c r="C47" s="198">
        <v>38</v>
      </c>
      <c r="E47" s="227" t="s">
        <v>599</v>
      </c>
      <c r="F47" s="198" t="s">
        <v>629</v>
      </c>
      <c r="H47" s="227" t="s">
        <v>603</v>
      </c>
      <c r="I47" s="198"/>
      <c r="J47" s="198"/>
    </row>
    <row r="48" spans="1:10" x14ac:dyDescent="0.3">
      <c r="A48" s="227"/>
      <c r="B48" s="198"/>
      <c r="C48" s="198"/>
      <c r="E48" s="227" t="s">
        <v>61</v>
      </c>
      <c r="F48" s="198" t="s">
        <v>61</v>
      </c>
      <c r="H48" s="227" t="s">
        <v>604</v>
      </c>
      <c r="I48" s="198"/>
      <c r="J48" s="198"/>
    </row>
    <row r="49" spans="1:10" x14ac:dyDescent="0.3">
      <c r="A49" s="227" t="s">
        <v>62</v>
      </c>
      <c r="B49" s="198">
        <v>0.125</v>
      </c>
      <c r="C49" s="198">
        <v>1</v>
      </c>
      <c r="E49" s="227" t="s">
        <v>601</v>
      </c>
      <c r="F49" s="198" t="s">
        <v>602</v>
      </c>
      <c r="H49" s="227" t="s">
        <v>605</v>
      </c>
      <c r="I49" s="198">
        <v>0.39560000000000001</v>
      </c>
      <c r="J49" s="198">
        <v>0.40179999999999999</v>
      </c>
    </row>
    <row r="50" spans="1:10" x14ac:dyDescent="0.3">
      <c r="A50" s="227" t="s">
        <v>637</v>
      </c>
      <c r="B50" s="198">
        <v>29.75</v>
      </c>
      <c r="C50" s="198">
        <v>120.3</v>
      </c>
      <c r="E50" s="227" t="s">
        <v>582</v>
      </c>
      <c r="F50" s="198"/>
      <c r="H50" s="227" t="s">
        <v>583</v>
      </c>
      <c r="I50" s="198" t="s">
        <v>63</v>
      </c>
      <c r="J50" s="198" t="s">
        <v>63</v>
      </c>
    </row>
    <row r="51" spans="1:10" x14ac:dyDescent="0.3">
      <c r="A51" s="227" t="s">
        <v>7</v>
      </c>
      <c r="B51" s="198">
        <v>275</v>
      </c>
      <c r="C51" s="198">
        <v>2807</v>
      </c>
      <c r="E51" s="227" t="s">
        <v>583</v>
      </c>
      <c r="F51" s="198">
        <v>1.01E-2</v>
      </c>
      <c r="H51" s="227" t="s">
        <v>606</v>
      </c>
      <c r="I51" s="198" t="s">
        <v>25</v>
      </c>
      <c r="J51" s="198" t="s">
        <v>25</v>
      </c>
    </row>
    <row r="52" spans="1:10" x14ac:dyDescent="0.3">
      <c r="A52" s="227" t="s">
        <v>638</v>
      </c>
      <c r="B52" s="198">
        <v>4423</v>
      </c>
      <c r="C52" s="198">
        <v>20480</v>
      </c>
      <c r="E52" s="227" t="s">
        <v>584</v>
      </c>
      <c r="F52" s="198" t="s">
        <v>67</v>
      </c>
      <c r="H52" s="227" t="s">
        <v>585</v>
      </c>
      <c r="I52" s="198" t="s">
        <v>65</v>
      </c>
      <c r="J52" s="198" t="s">
        <v>65</v>
      </c>
    </row>
    <row r="53" spans="1:10" x14ac:dyDescent="0.3">
      <c r="A53" s="227" t="s">
        <v>66</v>
      </c>
      <c r="B53" s="198">
        <v>131072</v>
      </c>
      <c r="C53" s="198">
        <v>1048576</v>
      </c>
      <c r="E53" s="227" t="s">
        <v>585</v>
      </c>
      <c r="F53" s="198" t="s">
        <v>69</v>
      </c>
      <c r="H53" s="227"/>
      <c r="I53" s="198"/>
      <c r="J53" s="198"/>
    </row>
    <row r="54" spans="1:10" x14ac:dyDescent="0.3">
      <c r="A54" s="227" t="s">
        <v>68</v>
      </c>
      <c r="B54" s="198">
        <v>131072</v>
      </c>
      <c r="C54" s="198">
        <v>1048575</v>
      </c>
      <c r="E54" s="227" t="s">
        <v>586</v>
      </c>
      <c r="F54" s="198" t="s">
        <v>71</v>
      </c>
      <c r="H54" s="227" t="s">
        <v>607</v>
      </c>
      <c r="I54" s="198">
        <v>42</v>
      </c>
      <c r="J54" s="198">
        <v>38</v>
      </c>
    </row>
    <row r="55" spans="1:10" x14ac:dyDescent="0.3">
      <c r="A55" s="227"/>
      <c r="B55" s="198"/>
      <c r="C55" s="198"/>
      <c r="E55" s="227" t="s">
        <v>587</v>
      </c>
      <c r="F55" s="198" t="s">
        <v>72</v>
      </c>
    </row>
    <row r="56" spans="1:10" x14ac:dyDescent="0.3">
      <c r="A56" s="227" t="s">
        <v>639</v>
      </c>
      <c r="B56" s="198"/>
      <c r="C56" s="198"/>
      <c r="E56" s="227" t="s">
        <v>588</v>
      </c>
      <c r="F56" s="198" t="s">
        <v>661</v>
      </c>
    </row>
    <row r="57" spans="1:10" x14ac:dyDescent="0.3">
      <c r="A57" s="227" t="s">
        <v>640</v>
      </c>
      <c r="B57" s="198" t="s">
        <v>83</v>
      </c>
      <c r="C57" s="198" t="s">
        <v>660</v>
      </c>
      <c r="E57" s="227" t="s">
        <v>590</v>
      </c>
      <c r="F57" s="198">
        <v>533</v>
      </c>
    </row>
    <row r="58" spans="1:10" x14ac:dyDescent="0.3">
      <c r="A58" s="227" t="s">
        <v>643</v>
      </c>
      <c r="B58" s="198">
        <v>64</v>
      </c>
      <c r="C58" s="198">
        <v>580</v>
      </c>
      <c r="E58" s="227" t="s">
        <v>591</v>
      </c>
      <c r="F58" s="198"/>
    </row>
    <row r="59" spans="1:10" x14ac:dyDescent="0.3">
      <c r="A59" s="227" t="s">
        <v>644</v>
      </c>
      <c r="B59" s="198">
        <v>1552</v>
      </c>
      <c r="C59" s="198">
        <v>8192</v>
      </c>
      <c r="E59" s="227" t="s">
        <v>592</v>
      </c>
      <c r="F59" s="198" t="s">
        <v>662</v>
      </c>
    </row>
    <row r="60" spans="1:10" x14ac:dyDescent="0.3">
      <c r="A60" s="227"/>
      <c r="B60" s="198"/>
      <c r="C60" s="198"/>
      <c r="E60" s="227" t="s">
        <v>594</v>
      </c>
      <c r="F60" s="198" t="s">
        <v>663</v>
      </c>
    </row>
    <row r="61" spans="1:10" x14ac:dyDescent="0.3">
      <c r="A61" s="227" t="s">
        <v>73</v>
      </c>
      <c r="B61" s="198">
        <v>8122</v>
      </c>
      <c r="C61" s="198">
        <v>88841</v>
      </c>
      <c r="E61" s="227" t="s">
        <v>596</v>
      </c>
      <c r="F61" s="198">
        <v>2532</v>
      </c>
    </row>
    <row r="62" spans="1:10" x14ac:dyDescent="0.3">
      <c r="A62" s="227" t="s">
        <v>645</v>
      </c>
      <c r="B62" s="198">
        <v>23157</v>
      </c>
      <c r="C62" s="198">
        <v>248480</v>
      </c>
      <c r="E62" s="227" t="s">
        <v>597</v>
      </c>
      <c r="F62" s="198">
        <v>1024</v>
      </c>
    </row>
    <row r="63" spans="1:10" x14ac:dyDescent="0.3">
      <c r="A63" s="227" t="s">
        <v>646</v>
      </c>
      <c r="B63" s="198">
        <v>3573</v>
      </c>
      <c r="C63" s="198">
        <v>40309</v>
      </c>
      <c r="E63" s="227" t="s">
        <v>664</v>
      </c>
      <c r="F63" s="198" t="s">
        <v>665</v>
      </c>
    </row>
    <row r="64" spans="1:10" x14ac:dyDescent="0.3">
      <c r="E64" s="227" t="s">
        <v>652</v>
      </c>
      <c r="F64" s="198" t="s">
        <v>67</v>
      </c>
    </row>
    <row r="67" spans="1:10" x14ac:dyDescent="0.3">
      <c r="A67" s="232" t="s">
        <v>447</v>
      </c>
      <c r="B67" s="228" t="s">
        <v>602</v>
      </c>
      <c r="C67" s="228" t="s">
        <v>629</v>
      </c>
      <c r="E67" s="227" t="s">
        <v>598</v>
      </c>
      <c r="F67" s="232" t="s">
        <v>447</v>
      </c>
      <c r="H67" s="232" t="s">
        <v>447</v>
      </c>
      <c r="I67" s="228" t="s">
        <v>602</v>
      </c>
      <c r="J67" s="228" t="s">
        <v>629</v>
      </c>
    </row>
    <row r="68" spans="1:10" x14ac:dyDescent="0.3">
      <c r="A68" s="227" t="s">
        <v>607</v>
      </c>
      <c r="B68" s="198">
        <v>14</v>
      </c>
      <c r="C68" s="198">
        <v>24</v>
      </c>
      <c r="E68" s="227" t="s">
        <v>599</v>
      </c>
      <c r="F68" s="198" t="s">
        <v>629</v>
      </c>
      <c r="H68" s="227" t="s">
        <v>603</v>
      </c>
      <c r="I68" s="198"/>
      <c r="J68" s="198"/>
    </row>
    <row r="69" spans="1:10" x14ac:dyDescent="0.3">
      <c r="A69" s="227"/>
      <c r="B69" s="198"/>
      <c r="C69" s="198"/>
      <c r="E69" s="227" t="s">
        <v>61</v>
      </c>
      <c r="F69" s="198" t="s">
        <v>61</v>
      </c>
      <c r="H69" s="227" t="s">
        <v>604</v>
      </c>
      <c r="I69" s="198"/>
      <c r="J69" s="198"/>
    </row>
    <row r="70" spans="1:10" x14ac:dyDescent="0.3">
      <c r="A70" s="227" t="s">
        <v>62</v>
      </c>
      <c r="B70" s="198">
        <v>5.8000000000000003E-2</v>
      </c>
      <c r="C70" s="198">
        <v>0.3</v>
      </c>
      <c r="E70" s="227" t="s">
        <v>601</v>
      </c>
      <c r="F70" s="198" t="s">
        <v>602</v>
      </c>
      <c r="H70" s="227" t="s">
        <v>605</v>
      </c>
      <c r="I70" s="198">
        <v>0.31159999999999999</v>
      </c>
      <c r="J70" s="198">
        <v>0.59640000000000004</v>
      </c>
    </row>
    <row r="71" spans="1:10" x14ac:dyDescent="0.3">
      <c r="A71" s="227" t="s">
        <v>637</v>
      </c>
      <c r="B71" s="198">
        <v>6.0750000000000002</v>
      </c>
      <c r="C71" s="198">
        <v>2048</v>
      </c>
      <c r="E71" s="227" t="s">
        <v>582</v>
      </c>
      <c r="F71" s="198"/>
      <c r="H71" s="227" t="s">
        <v>583</v>
      </c>
      <c r="I71" s="198" t="s">
        <v>63</v>
      </c>
      <c r="J71" s="198" t="s">
        <v>63</v>
      </c>
    </row>
    <row r="72" spans="1:10" x14ac:dyDescent="0.3">
      <c r="A72" s="227" t="s">
        <v>7</v>
      </c>
      <c r="B72" s="198">
        <v>768</v>
      </c>
      <c r="C72" s="198">
        <v>8801</v>
      </c>
      <c r="E72" s="227" t="s">
        <v>583</v>
      </c>
      <c r="F72" s="198">
        <v>1.8E-3</v>
      </c>
      <c r="H72" s="227" t="s">
        <v>606</v>
      </c>
      <c r="I72" s="198" t="s">
        <v>25</v>
      </c>
      <c r="J72" s="198" t="s">
        <v>25</v>
      </c>
    </row>
    <row r="73" spans="1:10" x14ac:dyDescent="0.3">
      <c r="A73" s="227" t="s">
        <v>638</v>
      </c>
      <c r="B73" s="198">
        <v>2188</v>
      </c>
      <c r="C73" s="198">
        <v>57344</v>
      </c>
      <c r="E73" s="227" t="s">
        <v>584</v>
      </c>
      <c r="F73" s="198" t="s">
        <v>67</v>
      </c>
      <c r="H73" s="227" t="s">
        <v>585</v>
      </c>
      <c r="I73" s="198" t="s">
        <v>65</v>
      </c>
      <c r="J73" s="198" t="s">
        <v>65</v>
      </c>
    </row>
    <row r="74" spans="1:10" x14ac:dyDescent="0.3">
      <c r="A74" s="227" t="s">
        <v>66</v>
      </c>
      <c r="B74" s="198">
        <v>262144</v>
      </c>
      <c r="C74" s="198">
        <v>262144</v>
      </c>
      <c r="E74" s="227" t="s">
        <v>585</v>
      </c>
      <c r="F74" s="198" t="s">
        <v>74</v>
      </c>
      <c r="H74" s="227"/>
      <c r="I74" s="198"/>
      <c r="J74" s="198"/>
    </row>
    <row r="75" spans="1:10" x14ac:dyDescent="0.3">
      <c r="A75" s="227" t="s">
        <v>68</v>
      </c>
      <c r="B75" s="198">
        <v>262144</v>
      </c>
      <c r="C75" s="198">
        <v>262144</v>
      </c>
      <c r="E75" s="227" t="s">
        <v>586</v>
      </c>
      <c r="F75" s="198" t="s">
        <v>71</v>
      </c>
      <c r="H75" s="227" t="s">
        <v>607</v>
      </c>
      <c r="I75" s="198">
        <v>14</v>
      </c>
      <c r="J75" s="198">
        <v>24</v>
      </c>
    </row>
    <row r="76" spans="1:10" x14ac:dyDescent="0.3">
      <c r="A76" s="227"/>
      <c r="B76" s="198"/>
      <c r="C76" s="198"/>
      <c r="E76" s="227" t="s">
        <v>587</v>
      </c>
      <c r="F76" s="198" t="s">
        <v>72</v>
      </c>
    </row>
    <row r="77" spans="1:10" x14ac:dyDescent="0.3">
      <c r="A77" s="227" t="s">
        <v>639</v>
      </c>
      <c r="B77" s="198"/>
      <c r="C77" s="198"/>
      <c r="E77" s="227" t="s">
        <v>588</v>
      </c>
      <c r="F77" s="198" t="s">
        <v>667</v>
      </c>
    </row>
    <row r="78" spans="1:10" x14ac:dyDescent="0.3">
      <c r="A78" s="227" t="s">
        <v>640</v>
      </c>
      <c r="B78" s="198" t="s">
        <v>666</v>
      </c>
      <c r="C78" s="198" t="s">
        <v>75</v>
      </c>
      <c r="E78" s="227" t="s">
        <v>590</v>
      </c>
      <c r="F78" s="198">
        <v>68</v>
      </c>
    </row>
    <row r="79" spans="1:10" x14ac:dyDescent="0.3">
      <c r="A79" s="227" t="s">
        <v>643</v>
      </c>
      <c r="B79" s="198">
        <v>0.3</v>
      </c>
      <c r="C79" s="198">
        <v>2048</v>
      </c>
      <c r="E79" s="227" t="s">
        <v>591</v>
      </c>
      <c r="F79" s="198"/>
    </row>
    <row r="80" spans="1:10" x14ac:dyDescent="0.3">
      <c r="A80" s="227" t="s">
        <v>644</v>
      </c>
      <c r="B80" s="198">
        <v>4096</v>
      </c>
      <c r="C80" s="198">
        <v>32768</v>
      </c>
      <c r="E80" s="227" t="s">
        <v>592</v>
      </c>
      <c r="F80" s="198" t="s">
        <v>668</v>
      </c>
    </row>
    <row r="81" spans="1:6" x14ac:dyDescent="0.3">
      <c r="A81" s="227"/>
      <c r="B81" s="198"/>
      <c r="C81" s="198"/>
      <c r="E81" s="227" t="s">
        <v>594</v>
      </c>
      <c r="F81" s="198" t="s">
        <v>669</v>
      </c>
    </row>
    <row r="82" spans="1:6" x14ac:dyDescent="0.3">
      <c r="A82" s="227" t="s">
        <v>73</v>
      </c>
      <c r="B82" s="198">
        <v>19679</v>
      </c>
      <c r="C82" s="198">
        <v>33171</v>
      </c>
      <c r="E82" s="227" t="s">
        <v>596</v>
      </c>
      <c r="F82" s="198">
        <v>8033</v>
      </c>
    </row>
    <row r="83" spans="1:6" x14ac:dyDescent="0.3">
      <c r="A83" s="227" t="s">
        <v>645</v>
      </c>
      <c r="B83" s="198">
        <v>69800</v>
      </c>
      <c r="C83" s="198">
        <v>58641</v>
      </c>
      <c r="E83" s="227" t="s">
        <v>597</v>
      </c>
      <c r="F83" s="198">
        <v>7424</v>
      </c>
    </row>
    <row r="84" spans="1:6" x14ac:dyDescent="0.3">
      <c r="A84" s="227" t="s">
        <v>646</v>
      </c>
      <c r="B84" s="198">
        <v>18655</v>
      </c>
      <c r="C84" s="198">
        <v>11970</v>
      </c>
      <c r="E84" s="227" t="s">
        <v>670</v>
      </c>
      <c r="F84" s="198" t="s">
        <v>671</v>
      </c>
    </row>
    <row r="85" spans="1:6" x14ac:dyDescent="0.3">
      <c r="E85" s="227" t="s">
        <v>652</v>
      </c>
      <c r="F85" s="198" t="s">
        <v>67</v>
      </c>
    </row>
  </sheetData>
  <mergeCells count="2">
    <mergeCell ref="A1:N1"/>
    <mergeCell ref="E23:F23"/>
  </mergeCells>
  <pageMargins left="0.7" right="0.7" top="0.75" bottom="0.75" header="0.3" footer="0.3"/>
  <pageSetup orientation="portrait" r:id="rId1"/>
  <drawing r:id="rId2"/>
  <legacyDrawing r:id="rId3"/>
  <oleObjects>
    <mc:AlternateContent xmlns:mc="http://schemas.openxmlformats.org/markup-compatibility/2006">
      <mc:Choice Requires="x14">
        <oleObject progId="Prism10.Document" shapeId="30724" r:id="rId4">
          <objectPr defaultSize="0" r:id="rId5">
            <anchor moveWithCells="1">
              <from>
                <xdr:col>11</xdr:col>
                <xdr:colOff>57150</xdr:colOff>
                <xdr:row>2</xdr:row>
                <xdr:rowOff>6350</xdr:rowOff>
              </from>
              <to>
                <xdr:col>17</xdr:col>
                <xdr:colOff>38100</xdr:colOff>
                <xdr:row>18</xdr:row>
                <xdr:rowOff>133350</xdr:rowOff>
              </to>
            </anchor>
          </objectPr>
        </oleObject>
      </mc:Choice>
      <mc:Fallback>
        <oleObject progId="Prism10.Document" shapeId="30724" r:id="rId4"/>
      </mc:Fallback>
    </mc:AlternateContent>
    <mc:AlternateContent xmlns:mc="http://schemas.openxmlformats.org/markup-compatibility/2006">
      <mc:Choice Requires="x14">
        <oleObject progId="Prism10.Document" shapeId="30725" r:id="rId6">
          <objectPr defaultSize="0" r:id="rId7">
            <anchor moveWithCells="1">
              <from>
                <xdr:col>11</xdr:col>
                <xdr:colOff>0</xdr:colOff>
                <xdr:row>23</xdr:row>
                <xdr:rowOff>0</xdr:rowOff>
              </from>
              <to>
                <xdr:col>17</xdr:col>
                <xdr:colOff>139700</xdr:colOff>
                <xdr:row>39</xdr:row>
                <xdr:rowOff>133350</xdr:rowOff>
              </to>
            </anchor>
          </objectPr>
        </oleObject>
      </mc:Choice>
      <mc:Fallback>
        <oleObject progId="Prism10.Document" shapeId="30725" r:id="rId6"/>
      </mc:Fallback>
    </mc:AlternateContent>
    <mc:AlternateContent xmlns:mc="http://schemas.openxmlformats.org/markup-compatibility/2006">
      <mc:Choice Requires="x14">
        <oleObject progId="Prism10.Document" shapeId="30726" r:id="rId8">
          <objectPr defaultSize="0" r:id="rId9">
            <anchor moveWithCells="1">
              <from>
                <xdr:col>11</xdr:col>
                <xdr:colOff>0</xdr:colOff>
                <xdr:row>45</xdr:row>
                <xdr:rowOff>0</xdr:rowOff>
              </from>
              <to>
                <xdr:col>17</xdr:col>
                <xdr:colOff>139700</xdr:colOff>
                <xdr:row>61</xdr:row>
                <xdr:rowOff>133350</xdr:rowOff>
              </to>
            </anchor>
          </objectPr>
        </oleObject>
      </mc:Choice>
      <mc:Fallback>
        <oleObject progId="Prism10.Document" shapeId="30726" r:id="rId8"/>
      </mc:Fallback>
    </mc:AlternateContent>
    <mc:AlternateContent xmlns:mc="http://schemas.openxmlformats.org/markup-compatibility/2006">
      <mc:Choice Requires="x14">
        <oleObject progId="Prism10.Document" shapeId="30727" r:id="rId10">
          <objectPr defaultSize="0" r:id="rId11">
            <anchor moveWithCells="1">
              <from>
                <xdr:col>11</xdr:col>
                <xdr:colOff>0</xdr:colOff>
                <xdr:row>66</xdr:row>
                <xdr:rowOff>0</xdr:rowOff>
              </from>
              <to>
                <xdr:col>17</xdr:col>
                <xdr:colOff>101600</xdr:colOff>
                <xdr:row>85</xdr:row>
                <xdr:rowOff>127000</xdr:rowOff>
              </to>
            </anchor>
          </objectPr>
        </oleObject>
      </mc:Choice>
      <mc:Fallback>
        <oleObject progId="Prism10.Document" shapeId="30727" r:id="rId10"/>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E9679-B51B-4C47-AEB7-F20FD17B5E3E}">
  <dimension ref="A1:AC202"/>
  <sheetViews>
    <sheetView topLeftCell="A55" zoomScale="80" zoomScaleNormal="80" workbookViewId="0">
      <selection activeCell="F13" sqref="F13"/>
    </sheetView>
  </sheetViews>
  <sheetFormatPr defaultColWidth="9" defaultRowHeight="14" x14ac:dyDescent="0.3"/>
  <cols>
    <col min="1" max="1" width="5.83203125" style="59" customWidth="1"/>
    <col min="2" max="2" width="7.83203125" style="3" customWidth="1"/>
    <col min="3" max="3" width="9.75" style="201" customWidth="1"/>
    <col min="4" max="4" width="10.1640625" style="201" customWidth="1"/>
    <col min="5" max="5" width="11.6640625" style="201" customWidth="1"/>
    <col min="6" max="6" width="10.25" style="201" customWidth="1"/>
    <col min="7" max="7" width="10.5" style="201" customWidth="1"/>
    <col min="8" max="8" width="11.4140625" style="201" customWidth="1"/>
    <col min="9" max="9" width="10.25" style="201" customWidth="1"/>
    <col min="10" max="10" width="10.83203125" style="201" customWidth="1"/>
    <col min="11" max="11" width="12.4140625" style="201" customWidth="1"/>
    <col min="12" max="12" width="9.75" style="201" customWidth="1"/>
    <col min="13" max="13" width="9.4140625" style="201" customWidth="1"/>
    <col min="14" max="14" width="11.08203125" style="201" customWidth="1"/>
    <col min="15" max="15" width="11.1640625" style="1" customWidth="1"/>
    <col min="16" max="16" width="6.58203125" style="59" customWidth="1"/>
    <col min="17" max="17" width="8" style="3" customWidth="1"/>
    <col min="18" max="18" width="9.9140625" style="1" customWidth="1"/>
    <col min="19" max="19" width="10.5" style="1" customWidth="1"/>
    <col min="20" max="20" width="11.4140625" style="1" customWidth="1"/>
    <col min="21" max="21" width="10.25" style="201" customWidth="1"/>
    <col min="22" max="22" width="10.83203125" style="201" bestFit="1" customWidth="1"/>
    <col min="23" max="23" width="11.58203125" style="201" customWidth="1"/>
    <col min="24" max="24" width="10.75" style="1" customWidth="1"/>
    <col min="25" max="25" width="10.4140625" style="1" customWidth="1"/>
    <col min="26" max="26" width="11.4140625" style="1" customWidth="1"/>
    <col min="27" max="27" width="9.58203125" style="201" customWidth="1"/>
    <col min="28" max="28" width="9" style="201" customWidth="1"/>
    <col min="29" max="29" width="11.1640625" style="1" customWidth="1"/>
    <col min="30" max="16384" width="9" style="1"/>
  </cols>
  <sheetData>
    <row r="1" spans="1:29" ht="18" x14ac:dyDescent="0.4">
      <c r="A1" s="554" t="s">
        <v>770</v>
      </c>
      <c r="B1" s="554"/>
      <c r="C1" s="554"/>
      <c r="D1" s="554"/>
      <c r="E1" s="554"/>
      <c r="F1" s="554"/>
      <c r="G1" s="554"/>
      <c r="H1" s="554"/>
      <c r="I1" s="554"/>
      <c r="J1" s="554"/>
      <c r="K1" s="554"/>
      <c r="L1" s="554"/>
      <c r="M1" s="554"/>
      <c r="N1" s="554"/>
      <c r="O1" s="554"/>
      <c r="P1" s="554"/>
      <c r="Q1" s="554"/>
      <c r="R1" s="555"/>
      <c r="S1" s="555"/>
      <c r="T1" s="555"/>
      <c r="U1" s="555"/>
      <c r="V1" s="555"/>
      <c r="W1" s="555"/>
      <c r="X1" s="555"/>
      <c r="Y1" s="555"/>
      <c r="Z1" s="203"/>
    </row>
    <row r="2" spans="1:29" x14ac:dyDescent="0.3">
      <c r="A2" s="459" t="s">
        <v>9</v>
      </c>
      <c r="B2" s="569" t="s">
        <v>50</v>
      </c>
      <c r="C2" s="556" t="s">
        <v>30</v>
      </c>
      <c r="D2" s="557"/>
      <c r="E2" s="557"/>
      <c r="F2" s="557"/>
      <c r="G2" s="557"/>
      <c r="H2" s="557"/>
      <c r="I2" s="557"/>
      <c r="J2" s="557"/>
      <c r="K2" s="557"/>
      <c r="L2" s="557"/>
      <c r="M2" s="557"/>
      <c r="N2" s="202"/>
      <c r="O2" s="13"/>
      <c r="P2" s="459" t="s">
        <v>25</v>
      </c>
      <c r="Q2" s="569" t="s">
        <v>50</v>
      </c>
      <c r="R2" s="567" t="s">
        <v>29</v>
      </c>
      <c r="S2" s="567"/>
      <c r="T2" s="567"/>
      <c r="U2" s="567"/>
      <c r="V2" s="567"/>
      <c r="W2" s="567"/>
      <c r="X2" s="567"/>
      <c r="Y2" s="567"/>
      <c r="Z2" s="567"/>
      <c r="AA2" s="567"/>
      <c r="AB2" s="567"/>
      <c r="AC2" s="567"/>
    </row>
    <row r="3" spans="1:29" s="223" customFormat="1" ht="30.5" customHeight="1" x14ac:dyDescent="0.35">
      <c r="A3" s="568"/>
      <c r="B3" s="531"/>
      <c r="C3" s="558" t="s">
        <v>780</v>
      </c>
      <c r="D3" s="559"/>
      <c r="E3" s="560" t="s">
        <v>448</v>
      </c>
      <c r="F3" s="558" t="s">
        <v>758</v>
      </c>
      <c r="G3" s="559"/>
      <c r="H3" s="560" t="s">
        <v>449</v>
      </c>
      <c r="I3" s="558" t="s">
        <v>759</v>
      </c>
      <c r="J3" s="559"/>
      <c r="K3" s="560" t="s">
        <v>465</v>
      </c>
      <c r="L3" s="563" t="s">
        <v>760</v>
      </c>
      <c r="M3" s="563"/>
      <c r="N3" s="560" t="s">
        <v>467</v>
      </c>
      <c r="O3" s="222"/>
      <c r="P3" s="568"/>
      <c r="Q3" s="531"/>
      <c r="R3" s="564" t="s">
        <v>761</v>
      </c>
      <c r="S3" s="565"/>
      <c r="T3" s="560" t="s">
        <v>448</v>
      </c>
      <c r="U3" s="558" t="s">
        <v>762</v>
      </c>
      <c r="V3" s="559"/>
      <c r="W3" s="560" t="s">
        <v>449</v>
      </c>
      <c r="X3" s="564" t="s">
        <v>763</v>
      </c>
      <c r="Y3" s="565"/>
      <c r="Z3" s="560" t="s">
        <v>465</v>
      </c>
      <c r="AA3" s="563" t="s">
        <v>764</v>
      </c>
      <c r="AB3" s="563"/>
      <c r="AC3" s="560" t="s">
        <v>467</v>
      </c>
    </row>
    <row r="4" spans="1:29" s="68" customFormat="1" ht="13" x14ac:dyDescent="0.3">
      <c r="A4" s="460"/>
      <c r="B4" s="532"/>
      <c r="C4" s="67" t="s">
        <v>3</v>
      </c>
      <c r="D4" s="67" t="s">
        <v>4</v>
      </c>
      <c r="E4" s="561"/>
      <c r="F4" s="67" t="s">
        <v>3</v>
      </c>
      <c r="G4" s="67" t="s">
        <v>4</v>
      </c>
      <c r="H4" s="561"/>
      <c r="I4" s="67" t="s">
        <v>3</v>
      </c>
      <c r="J4" s="67" t="s">
        <v>4</v>
      </c>
      <c r="K4" s="561"/>
      <c r="L4" s="67" t="s">
        <v>3</v>
      </c>
      <c r="M4" s="67" t="s">
        <v>4</v>
      </c>
      <c r="N4" s="561"/>
      <c r="O4" s="258"/>
      <c r="P4" s="460"/>
      <c r="Q4" s="532"/>
      <c r="R4" s="67" t="s">
        <v>3</v>
      </c>
      <c r="S4" s="67" t="s">
        <v>4</v>
      </c>
      <c r="T4" s="561"/>
      <c r="U4" s="67" t="s">
        <v>3</v>
      </c>
      <c r="V4" s="67" t="s">
        <v>4</v>
      </c>
      <c r="W4" s="561"/>
      <c r="X4" s="67" t="s">
        <v>3</v>
      </c>
      <c r="Y4" s="67" t="s">
        <v>4</v>
      </c>
      <c r="Z4" s="561"/>
      <c r="AA4" s="67" t="s">
        <v>3</v>
      </c>
      <c r="AB4" s="67" t="s">
        <v>4</v>
      </c>
      <c r="AC4" s="561"/>
    </row>
    <row r="5" spans="1:29" s="260" customFormat="1" ht="12.5" x14ac:dyDescent="0.25">
      <c r="A5" s="57">
        <v>1</v>
      </c>
      <c r="B5" s="57" t="s">
        <v>94</v>
      </c>
      <c r="C5" s="67">
        <v>6.6231449999999992</v>
      </c>
      <c r="D5" s="67">
        <v>38.193964000000001</v>
      </c>
      <c r="E5" s="67">
        <f>D5-C5</f>
        <v>31.570819</v>
      </c>
      <c r="F5" s="67">
        <v>589.67012799999998</v>
      </c>
      <c r="G5" s="67">
        <v>52.594686999999993</v>
      </c>
      <c r="H5" s="67">
        <f>G5-F5</f>
        <v>-537.07544099999996</v>
      </c>
      <c r="I5" s="67" t="s">
        <v>264</v>
      </c>
      <c r="J5" s="67" t="s">
        <v>264</v>
      </c>
      <c r="K5" s="67"/>
      <c r="L5" s="200">
        <v>15.021014000000003</v>
      </c>
      <c r="M5" s="200">
        <v>18.143485599999998</v>
      </c>
      <c r="N5" s="67">
        <f>M5-L5</f>
        <v>3.1224715999999955</v>
      </c>
      <c r="O5" s="259"/>
      <c r="P5" s="57">
        <v>1</v>
      </c>
      <c r="Q5" s="57" t="s">
        <v>187</v>
      </c>
      <c r="R5" s="67">
        <v>91.510999999999996</v>
      </c>
      <c r="S5" s="67">
        <v>78.483999999999995</v>
      </c>
      <c r="T5" s="67">
        <f>S5-R5</f>
        <v>-13.027000000000001</v>
      </c>
      <c r="U5" s="67">
        <v>683.64114400000017</v>
      </c>
      <c r="V5" s="67">
        <v>321.98424399999999</v>
      </c>
      <c r="W5" s="67">
        <f>V5-U5</f>
        <v>-361.65690000000018</v>
      </c>
      <c r="X5" s="67">
        <v>15.571990000000007</v>
      </c>
      <c r="Y5" s="67">
        <v>14.039770000000004</v>
      </c>
      <c r="Z5" s="67">
        <f>Y5-X5</f>
        <v>-1.5322200000000024</v>
      </c>
      <c r="AA5" s="67">
        <v>5.3544102200000001</v>
      </c>
      <c r="AB5" s="67">
        <v>5.3301003199999997</v>
      </c>
      <c r="AC5" s="67">
        <f>AB5-AA5</f>
        <v>-2.4309900000000439E-2</v>
      </c>
    </row>
    <row r="6" spans="1:29" s="260" customFormat="1" ht="12.5" x14ac:dyDescent="0.25">
      <c r="A6" s="57">
        <v>2</v>
      </c>
      <c r="B6" s="57" t="s">
        <v>98</v>
      </c>
      <c r="C6" s="67">
        <v>25.379704000000004</v>
      </c>
      <c r="D6" s="67">
        <v>93.533978999999988</v>
      </c>
      <c r="E6" s="67">
        <f>D6-C6</f>
        <v>68.154274999999984</v>
      </c>
      <c r="F6" s="67">
        <v>437.92367499999995</v>
      </c>
      <c r="G6" s="67">
        <v>448.11582399999992</v>
      </c>
      <c r="H6" s="67">
        <f t="shared" ref="H6:H54" si="0">G6-F6</f>
        <v>10.192148999999972</v>
      </c>
      <c r="I6" s="67">
        <v>30.894189999999998</v>
      </c>
      <c r="J6" s="67">
        <v>0</v>
      </c>
      <c r="K6" s="67">
        <f>J6-I6</f>
        <v>-30.894189999999998</v>
      </c>
      <c r="L6" s="200">
        <v>5.3641341799999998</v>
      </c>
      <c r="M6" s="200">
        <v>21.849394800000002</v>
      </c>
      <c r="N6" s="67">
        <f t="shared" ref="N6:N54" si="1">M6-L6</f>
        <v>16.485260620000002</v>
      </c>
      <c r="O6" s="261"/>
      <c r="P6" s="57">
        <v>2</v>
      </c>
      <c r="Q6" s="57" t="s">
        <v>188</v>
      </c>
      <c r="R6" s="67">
        <v>189.792</v>
      </c>
      <c r="S6" s="67">
        <v>98.835999999999999</v>
      </c>
      <c r="T6" s="67">
        <f t="shared" ref="T6:T55" si="2">S6-R6</f>
        <v>-90.956000000000003</v>
      </c>
      <c r="U6" s="67">
        <v>653.09458599999994</v>
      </c>
      <c r="V6" s="67">
        <v>410.45568399999996</v>
      </c>
      <c r="W6" s="67">
        <f t="shared" ref="W6:W55" si="3">V6-U6</f>
        <v>-242.63890199999997</v>
      </c>
      <c r="X6" s="67" t="s">
        <v>264</v>
      </c>
      <c r="Y6" s="67" t="s">
        <v>264</v>
      </c>
      <c r="Z6" s="67"/>
      <c r="AA6" s="67">
        <v>9.5584022599999994</v>
      </c>
      <c r="AB6" s="67">
        <v>21.773764</v>
      </c>
      <c r="AC6" s="67">
        <f t="shared" ref="AC6:AC55" si="4">AB6-AA6</f>
        <v>12.215361740000001</v>
      </c>
    </row>
    <row r="7" spans="1:29" s="260" customFormat="1" ht="12.5" x14ac:dyDescent="0.25">
      <c r="A7" s="57">
        <v>3</v>
      </c>
      <c r="B7" s="57" t="s">
        <v>102</v>
      </c>
      <c r="C7" s="67">
        <v>30.430029999999995</v>
      </c>
      <c r="D7" s="67">
        <v>17.766525999999999</v>
      </c>
      <c r="E7" s="67">
        <f>D7-C7</f>
        <v>-12.663503999999996</v>
      </c>
      <c r="F7" s="67">
        <v>385.58803599999993</v>
      </c>
      <c r="G7" s="67">
        <v>146.95426</v>
      </c>
      <c r="H7" s="67">
        <f t="shared" si="0"/>
        <v>-238.63377599999993</v>
      </c>
      <c r="I7" s="67" t="s">
        <v>264</v>
      </c>
      <c r="J7" s="67" t="s">
        <v>264</v>
      </c>
      <c r="K7" s="67"/>
      <c r="L7" s="200">
        <v>15.134460200000001</v>
      </c>
      <c r="M7" s="200">
        <v>4.6758939000000002</v>
      </c>
      <c r="N7" s="67">
        <f>M7-L7</f>
        <v>-10.458566300000001</v>
      </c>
      <c r="O7" s="259"/>
      <c r="P7" s="57">
        <v>3</v>
      </c>
      <c r="Q7" s="57" t="s">
        <v>189</v>
      </c>
      <c r="R7" s="67" t="s">
        <v>264</v>
      </c>
      <c r="S7" s="67" t="s">
        <v>264</v>
      </c>
      <c r="T7" s="67"/>
      <c r="U7" s="67">
        <v>420.16960899999998</v>
      </c>
      <c r="V7" s="67">
        <v>593.40625300000011</v>
      </c>
      <c r="W7" s="67">
        <f t="shared" si="3"/>
        <v>173.23664400000013</v>
      </c>
      <c r="X7" s="67">
        <v>100.20160800000002</v>
      </c>
      <c r="Y7" s="67">
        <v>38.146698000000008</v>
      </c>
      <c r="Z7" s="67">
        <f t="shared" ref="Z7:Z55" si="5">Y7-X7</f>
        <v>-62.054910000000014</v>
      </c>
      <c r="AA7" s="67">
        <v>21.249750600000002</v>
      </c>
      <c r="AB7" s="67">
        <v>14.307923599999999</v>
      </c>
      <c r="AC7" s="67">
        <f t="shared" si="4"/>
        <v>-6.9418270000000035</v>
      </c>
    </row>
    <row r="8" spans="1:29" s="260" customFormat="1" ht="12.5" x14ac:dyDescent="0.25">
      <c r="A8" s="57">
        <v>4</v>
      </c>
      <c r="B8" s="57" t="s">
        <v>105</v>
      </c>
      <c r="C8" s="67" t="s">
        <v>264</v>
      </c>
      <c r="D8" s="67" t="s">
        <v>264</v>
      </c>
      <c r="E8" s="67"/>
      <c r="F8" s="67">
        <v>190.92097899999993</v>
      </c>
      <c r="G8" s="67">
        <v>80.630569000000037</v>
      </c>
      <c r="H8" s="67">
        <f t="shared" si="0"/>
        <v>-110.29040999999989</v>
      </c>
      <c r="I8" s="67" t="s">
        <v>264</v>
      </c>
      <c r="J8" s="67" t="s">
        <v>264</v>
      </c>
      <c r="K8" s="67"/>
      <c r="L8" s="200">
        <v>3.8925748999999996</v>
      </c>
      <c r="M8" s="200">
        <v>3.1746225200000002</v>
      </c>
      <c r="N8" s="67">
        <f t="shared" si="1"/>
        <v>-0.71795237999999939</v>
      </c>
      <c r="O8" s="259"/>
      <c r="P8" s="57">
        <v>4</v>
      </c>
      <c r="Q8" s="57" t="s">
        <v>190</v>
      </c>
      <c r="R8" s="67">
        <v>48.508000000000003</v>
      </c>
      <c r="S8" s="67">
        <v>124.426</v>
      </c>
      <c r="T8" s="67">
        <f t="shared" si="2"/>
        <v>75.918000000000006</v>
      </c>
      <c r="U8" s="67">
        <v>727.42852900000003</v>
      </c>
      <c r="V8" s="67">
        <v>463.03043499999995</v>
      </c>
      <c r="W8" s="67">
        <f t="shared" si="3"/>
        <v>-264.39809400000007</v>
      </c>
      <c r="X8" s="67">
        <v>98.158647999999999</v>
      </c>
      <c r="Y8" s="67">
        <v>0</v>
      </c>
      <c r="Z8" s="67">
        <f t="shared" si="5"/>
        <v>-98.158647999999999</v>
      </c>
      <c r="AA8" s="67">
        <v>18.181300999999994</v>
      </c>
      <c r="AB8" s="67">
        <v>17.803146999999996</v>
      </c>
      <c r="AC8" s="67">
        <f t="shared" si="4"/>
        <v>-0.37815399999999855</v>
      </c>
    </row>
    <row r="9" spans="1:29" s="260" customFormat="1" ht="12.5" x14ac:dyDescent="0.25">
      <c r="A9" s="57">
        <v>5</v>
      </c>
      <c r="B9" s="57" t="s">
        <v>108</v>
      </c>
      <c r="C9" s="67">
        <v>54.254028000000005</v>
      </c>
      <c r="D9" s="67">
        <v>23.535815999999997</v>
      </c>
      <c r="E9" s="67">
        <f>D9-C9</f>
        <v>-30.718212000000008</v>
      </c>
      <c r="F9" s="67">
        <v>118.61900800000001</v>
      </c>
      <c r="G9" s="67">
        <v>398.38462399999997</v>
      </c>
      <c r="H9" s="67">
        <f t="shared" si="0"/>
        <v>279.76561599999997</v>
      </c>
      <c r="I9" s="67">
        <v>50.303389999999993</v>
      </c>
      <c r="J9" s="67">
        <v>83.853019999999987</v>
      </c>
      <c r="K9" s="67">
        <f>J9-I9</f>
        <v>33.549629999999993</v>
      </c>
      <c r="L9" s="200">
        <v>1.0483166000000002</v>
      </c>
      <c r="M9" s="200">
        <v>2.7791814800000001</v>
      </c>
      <c r="N9" s="67">
        <f t="shared" si="1"/>
        <v>1.7308648799999999</v>
      </c>
      <c r="O9" s="224"/>
      <c r="P9" s="57">
        <v>5</v>
      </c>
      <c r="Q9" s="57" t="s">
        <v>191</v>
      </c>
      <c r="R9" s="67">
        <v>9.1609999999999996</v>
      </c>
      <c r="S9" s="67">
        <v>44.738999999999997</v>
      </c>
      <c r="T9" s="67">
        <f t="shared" si="2"/>
        <v>35.577999999999996</v>
      </c>
      <c r="U9" s="67">
        <v>91.330830999999961</v>
      </c>
      <c r="V9" s="67">
        <v>1.27527400000001</v>
      </c>
      <c r="W9" s="67">
        <f t="shared" si="3"/>
        <v>-90.055556999999951</v>
      </c>
      <c r="X9" s="67" t="s">
        <v>264</v>
      </c>
      <c r="Y9" s="67" t="s">
        <v>264</v>
      </c>
      <c r="Z9" s="67"/>
      <c r="AA9" s="67">
        <v>10.06026664</v>
      </c>
      <c r="AB9" s="67">
        <v>4.6121479399999998</v>
      </c>
      <c r="AC9" s="67">
        <f t="shared" si="4"/>
        <v>-5.4481187000000002</v>
      </c>
    </row>
    <row r="10" spans="1:29" s="260" customFormat="1" ht="12.5" x14ac:dyDescent="0.25">
      <c r="A10" s="57">
        <v>6</v>
      </c>
      <c r="B10" s="57" t="s">
        <v>109</v>
      </c>
      <c r="C10" s="67">
        <v>65.73205999999999</v>
      </c>
      <c r="D10" s="67">
        <v>1.007483999999998</v>
      </c>
      <c r="E10" s="67">
        <f>D10-C10</f>
        <v>-64.724575999999985</v>
      </c>
      <c r="F10" s="67">
        <v>578.16286300000002</v>
      </c>
      <c r="G10" s="67">
        <v>316.484668</v>
      </c>
      <c r="H10" s="67">
        <f t="shared" si="0"/>
        <v>-261.67819500000002</v>
      </c>
      <c r="I10" s="67" t="s">
        <v>264</v>
      </c>
      <c r="J10" s="67" t="s">
        <v>264</v>
      </c>
      <c r="K10" s="67"/>
      <c r="L10" s="200">
        <v>24.0859056</v>
      </c>
      <c r="M10" s="200">
        <v>28.467089800000004</v>
      </c>
      <c r="N10" s="67">
        <f t="shared" si="1"/>
        <v>4.3811842000000034</v>
      </c>
      <c r="O10" s="261"/>
      <c r="P10" s="57">
        <v>6</v>
      </c>
      <c r="Q10" s="57" t="s">
        <v>192</v>
      </c>
      <c r="R10" s="67">
        <v>51.045999999999999</v>
      </c>
      <c r="S10" s="67">
        <v>5.1529999999999996</v>
      </c>
      <c r="T10" s="67">
        <f t="shared" si="2"/>
        <v>-45.893000000000001</v>
      </c>
      <c r="U10" s="67">
        <v>524.72133099999996</v>
      </c>
      <c r="V10" s="67">
        <v>184.91328999999996</v>
      </c>
      <c r="W10" s="67">
        <f t="shared" si="3"/>
        <v>-339.808041</v>
      </c>
      <c r="X10" s="67" t="s">
        <v>264</v>
      </c>
      <c r="Y10" s="67" t="s">
        <v>264</v>
      </c>
      <c r="Z10" s="67"/>
      <c r="AA10" s="67">
        <v>15.199286599999999</v>
      </c>
      <c r="AB10" s="67">
        <v>19.997363119999999</v>
      </c>
      <c r="AC10" s="67">
        <f t="shared" si="4"/>
        <v>4.7980765200000004</v>
      </c>
    </row>
    <row r="11" spans="1:29" s="260" customFormat="1" ht="12.5" x14ac:dyDescent="0.25">
      <c r="A11" s="57">
        <v>7</v>
      </c>
      <c r="B11" s="57" t="s">
        <v>113</v>
      </c>
      <c r="C11" s="67">
        <v>91.147008999999997</v>
      </c>
      <c r="D11" s="67">
        <v>43.382482999999993</v>
      </c>
      <c r="E11" s="67">
        <f>D11-C11</f>
        <v>-47.764526000000004</v>
      </c>
      <c r="F11" s="67">
        <v>632.82984399999987</v>
      </c>
      <c r="G11" s="67">
        <f>4*220.78009</f>
        <v>883.12036000000001</v>
      </c>
      <c r="H11" s="67">
        <f t="shared" si="0"/>
        <v>250.29051600000014</v>
      </c>
      <c r="I11" s="67">
        <v>85.69659200000001</v>
      </c>
      <c r="J11" s="67">
        <v>110.62070400000002</v>
      </c>
      <c r="K11" s="67">
        <f>J11-I11</f>
        <v>24.924112000000008</v>
      </c>
      <c r="L11" s="200">
        <v>1.7225111599999998</v>
      </c>
      <c r="M11" s="200">
        <v>19.888396199999999</v>
      </c>
      <c r="N11" s="67">
        <f t="shared" si="1"/>
        <v>18.165885039999999</v>
      </c>
      <c r="O11" s="259"/>
      <c r="P11" s="57">
        <v>7</v>
      </c>
      <c r="Q11" s="57" t="s">
        <v>193</v>
      </c>
      <c r="R11" s="67">
        <v>331.02499999999998</v>
      </c>
      <c r="S11" s="67">
        <v>14.186</v>
      </c>
      <c r="T11" s="67">
        <f t="shared" si="2"/>
        <v>-316.839</v>
      </c>
      <c r="U11" s="67">
        <v>730.23809500000016</v>
      </c>
      <c r="V11" s="67">
        <v>582.28754500000014</v>
      </c>
      <c r="W11" s="67">
        <f t="shared" si="3"/>
        <v>-147.95055000000002</v>
      </c>
      <c r="X11" s="67">
        <v>42.590135999999994</v>
      </c>
      <c r="Y11" s="67">
        <v>0</v>
      </c>
      <c r="Z11" s="67">
        <f t="shared" si="5"/>
        <v>-42.590135999999994</v>
      </c>
      <c r="AA11" s="67">
        <v>2.4334406800000004</v>
      </c>
      <c r="AB11" s="67">
        <v>0.94621502000000002</v>
      </c>
      <c r="AC11" s="67">
        <f t="shared" si="4"/>
        <v>-1.4872256600000004</v>
      </c>
    </row>
    <row r="12" spans="1:29" s="260" customFormat="1" ht="12.5" x14ac:dyDescent="0.25">
      <c r="A12" s="57">
        <v>8</v>
      </c>
      <c r="B12" s="57" t="s">
        <v>117</v>
      </c>
      <c r="C12" s="67" t="s">
        <v>264</v>
      </c>
      <c r="D12" s="67" t="s">
        <v>264</v>
      </c>
      <c r="E12" s="67"/>
      <c r="F12" s="67" t="s">
        <v>264</v>
      </c>
      <c r="G12" s="67" t="s">
        <v>264</v>
      </c>
      <c r="H12" s="67"/>
      <c r="I12" s="67" t="s">
        <v>264</v>
      </c>
      <c r="J12" s="67" t="s">
        <v>264</v>
      </c>
      <c r="K12" s="67"/>
      <c r="L12" s="67" t="s">
        <v>264</v>
      </c>
      <c r="M12" s="67" t="s">
        <v>264</v>
      </c>
      <c r="N12" s="67"/>
      <c r="O12" s="261"/>
      <c r="P12" s="57">
        <v>8</v>
      </c>
      <c r="Q12" s="57" t="s">
        <v>194</v>
      </c>
      <c r="R12" s="67" t="s">
        <v>264</v>
      </c>
      <c r="S12" s="67" t="s">
        <v>264</v>
      </c>
      <c r="T12" s="67"/>
      <c r="U12" s="67">
        <v>585.186778</v>
      </c>
      <c r="V12" s="67">
        <v>79.315452999999962</v>
      </c>
      <c r="W12" s="67">
        <f t="shared" si="3"/>
        <v>-505.87132500000007</v>
      </c>
      <c r="X12" s="67" t="s">
        <v>264</v>
      </c>
      <c r="Y12" s="67" t="s">
        <v>264</v>
      </c>
      <c r="Z12" s="67"/>
      <c r="AA12" s="67">
        <v>18.916000199999999</v>
      </c>
      <c r="AB12" s="67">
        <v>2.90343208</v>
      </c>
      <c r="AC12" s="67">
        <f t="shared" si="4"/>
        <v>-16.012568119999997</v>
      </c>
    </row>
    <row r="13" spans="1:29" s="260" customFormat="1" ht="12.5" x14ac:dyDescent="0.25">
      <c r="A13" s="57">
        <v>9</v>
      </c>
      <c r="B13" s="57" t="s">
        <v>119</v>
      </c>
      <c r="C13" s="67">
        <v>92.578941000000015</v>
      </c>
      <c r="D13" s="67">
        <v>81.952528999999998</v>
      </c>
      <c r="E13" s="67">
        <f>D13-C13</f>
        <v>-10.626412000000016</v>
      </c>
      <c r="F13" s="67">
        <v>551.92032100000006</v>
      </c>
      <c r="G13" s="67">
        <v>607.00574800000004</v>
      </c>
      <c r="H13" s="67">
        <f t="shared" si="0"/>
        <v>55.085426999999981</v>
      </c>
      <c r="I13" s="67" t="s">
        <v>264</v>
      </c>
      <c r="J13" s="67" t="s">
        <v>264</v>
      </c>
      <c r="K13" s="67"/>
      <c r="L13" s="200">
        <v>1.8872782599999998</v>
      </c>
      <c r="M13" s="200">
        <v>3.5236046399999998</v>
      </c>
      <c r="N13" s="67">
        <f t="shared" si="1"/>
        <v>1.6363263800000001</v>
      </c>
      <c r="O13" s="261"/>
      <c r="P13" s="57">
        <v>9</v>
      </c>
      <c r="Q13" s="57" t="s">
        <v>195</v>
      </c>
      <c r="R13" s="67" t="s">
        <v>264</v>
      </c>
      <c r="S13" s="67" t="s">
        <v>264</v>
      </c>
      <c r="T13" s="67"/>
      <c r="U13" s="67">
        <v>603.68806900000004</v>
      </c>
      <c r="V13" s="67">
        <v>435.89122300000002</v>
      </c>
      <c r="W13" s="67">
        <f t="shared" si="3"/>
        <v>-167.79684600000002</v>
      </c>
      <c r="X13" s="67" t="s">
        <v>264</v>
      </c>
      <c r="Y13" s="67" t="s">
        <v>264</v>
      </c>
      <c r="Z13" s="67"/>
      <c r="AA13" s="67">
        <v>16.782131199999995</v>
      </c>
      <c r="AB13" s="67">
        <v>5.5602340400000001</v>
      </c>
      <c r="AC13" s="67">
        <f t="shared" si="4"/>
        <v>-11.221897159999994</v>
      </c>
    </row>
    <row r="14" spans="1:29" s="260" customFormat="1" ht="12.5" x14ac:dyDescent="0.25">
      <c r="A14" s="57">
        <v>10</v>
      </c>
      <c r="B14" s="57" t="s">
        <v>123</v>
      </c>
      <c r="C14" s="67">
        <v>119.58964100000003</v>
      </c>
      <c r="D14" s="67">
        <v>0</v>
      </c>
      <c r="E14" s="67">
        <f>D14-C14</f>
        <v>-119.58964100000003</v>
      </c>
      <c r="F14" s="67">
        <v>754.29873999999995</v>
      </c>
      <c r="G14" s="67">
        <v>0</v>
      </c>
      <c r="H14" s="67">
        <f t="shared" si="0"/>
        <v>-754.29873999999995</v>
      </c>
      <c r="I14" s="67">
        <v>157.20019200000004</v>
      </c>
      <c r="J14" s="67">
        <v>13.324733999999999</v>
      </c>
      <c r="K14" s="67">
        <f>J14-I14</f>
        <v>-143.87545800000004</v>
      </c>
      <c r="L14" s="200">
        <v>5.7774024799999992</v>
      </c>
      <c r="M14" s="200">
        <v>6.8556815999999996</v>
      </c>
      <c r="N14" s="67">
        <f t="shared" si="1"/>
        <v>1.0782791200000004</v>
      </c>
      <c r="O14" s="261"/>
      <c r="P14" s="57">
        <v>10</v>
      </c>
      <c r="Q14" s="57" t="s">
        <v>196</v>
      </c>
      <c r="R14" s="67">
        <v>108.283</v>
      </c>
      <c r="S14" s="67">
        <v>38.356999999999999</v>
      </c>
      <c r="T14" s="67">
        <f t="shared" si="2"/>
        <v>-69.926000000000002</v>
      </c>
      <c r="U14" s="67">
        <v>705.81878200000006</v>
      </c>
      <c r="V14" s="67">
        <v>467.24478399999992</v>
      </c>
      <c r="W14" s="67">
        <f t="shared" si="3"/>
        <v>-238.57399800000013</v>
      </c>
      <c r="X14" s="67" t="s">
        <v>264</v>
      </c>
      <c r="Y14" s="67" t="s">
        <v>264</v>
      </c>
      <c r="Z14" s="67"/>
      <c r="AA14" s="67">
        <v>0.63991027999999994</v>
      </c>
      <c r="AB14" s="67">
        <v>5.2739174399999991</v>
      </c>
      <c r="AC14" s="67">
        <f t="shared" si="4"/>
        <v>4.6340071599999995</v>
      </c>
    </row>
    <row r="15" spans="1:29" s="260" customFormat="1" ht="12.5" x14ac:dyDescent="0.25">
      <c r="A15" s="57">
        <v>11</v>
      </c>
      <c r="B15" s="57" t="s">
        <v>173</v>
      </c>
      <c r="C15" s="67">
        <v>2.653236999999999</v>
      </c>
      <c r="D15" s="67">
        <v>383.09856599999995</v>
      </c>
      <c r="E15" s="67">
        <f>D15-C15</f>
        <v>380.44532899999996</v>
      </c>
      <c r="F15" s="67">
        <v>82.961910999999958</v>
      </c>
      <c r="G15" s="67">
        <v>759.40975900000012</v>
      </c>
      <c r="H15" s="67">
        <f t="shared" si="0"/>
        <v>676.44784800000014</v>
      </c>
      <c r="I15" s="67" t="s">
        <v>264</v>
      </c>
      <c r="J15" s="67" t="s">
        <v>264</v>
      </c>
      <c r="K15" s="67"/>
      <c r="L15" s="200">
        <v>6.2987147799999992</v>
      </c>
      <c r="M15" s="200">
        <v>28.364447999999999</v>
      </c>
      <c r="N15" s="67">
        <f t="shared" si="1"/>
        <v>22.065733219999998</v>
      </c>
      <c r="P15" s="57">
        <v>11</v>
      </c>
      <c r="Q15" s="57" t="s">
        <v>197</v>
      </c>
      <c r="R15" s="67" t="s">
        <v>264</v>
      </c>
      <c r="S15" s="67" t="s">
        <v>264</v>
      </c>
      <c r="T15" s="67"/>
      <c r="U15" s="67">
        <v>670.13131599999997</v>
      </c>
      <c r="V15" s="67">
        <v>0</v>
      </c>
      <c r="W15" s="67">
        <f t="shared" si="3"/>
        <v>-670.13131599999997</v>
      </c>
      <c r="X15" s="67" t="s">
        <v>264</v>
      </c>
      <c r="Y15" s="67" t="s">
        <v>264</v>
      </c>
      <c r="Z15" s="67"/>
      <c r="AA15" s="67">
        <v>22.238353200000002</v>
      </c>
      <c r="AB15" s="67">
        <v>16.49673752</v>
      </c>
      <c r="AC15" s="67">
        <f t="shared" si="4"/>
        <v>-5.7416156800000024</v>
      </c>
    </row>
    <row r="16" spans="1:29" s="260" customFormat="1" ht="12.5" x14ac:dyDescent="0.25">
      <c r="A16" s="57">
        <v>12</v>
      </c>
      <c r="B16" s="57" t="s">
        <v>126</v>
      </c>
      <c r="C16" s="67" t="s">
        <v>264</v>
      </c>
      <c r="D16" s="67" t="s">
        <v>264</v>
      </c>
      <c r="E16" s="67"/>
      <c r="F16" s="67">
        <v>669.74275899999998</v>
      </c>
      <c r="G16" s="67">
        <v>159.14897200000001</v>
      </c>
      <c r="H16" s="67">
        <f t="shared" si="0"/>
        <v>-510.59378699999996</v>
      </c>
      <c r="I16" s="67">
        <v>128.70090000000002</v>
      </c>
      <c r="J16" s="67">
        <v>0</v>
      </c>
      <c r="K16" s="67">
        <f>J16-I16</f>
        <v>-128.70090000000002</v>
      </c>
      <c r="L16" s="200">
        <v>1.2800709800000001</v>
      </c>
      <c r="M16" s="200">
        <v>6.1398901000000006</v>
      </c>
      <c r="N16" s="67">
        <f t="shared" si="1"/>
        <v>4.8598191200000009</v>
      </c>
      <c r="O16" s="224"/>
      <c r="P16" s="57">
        <v>12</v>
      </c>
      <c r="Q16" s="57" t="s">
        <v>198</v>
      </c>
      <c r="R16" s="67">
        <v>15.493</v>
      </c>
      <c r="S16" s="67">
        <v>0</v>
      </c>
      <c r="T16" s="67">
        <f t="shared" si="2"/>
        <v>-15.493</v>
      </c>
      <c r="U16" s="67">
        <v>696.49341400000003</v>
      </c>
      <c r="V16" s="67">
        <v>414.75970000000001</v>
      </c>
      <c r="W16" s="67">
        <f t="shared" si="3"/>
        <v>-281.73371400000002</v>
      </c>
      <c r="X16" s="67">
        <v>8.4216300000000004</v>
      </c>
      <c r="Y16" s="67">
        <v>0</v>
      </c>
      <c r="Z16" s="67">
        <f t="shared" si="5"/>
        <v>-8.4216300000000004</v>
      </c>
      <c r="AA16" s="67">
        <v>24.383026600000001</v>
      </c>
      <c r="AB16" s="67">
        <v>19.490636759999997</v>
      </c>
      <c r="AC16" s="67">
        <f t="shared" si="4"/>
        <v>-4.8923898400000034</v>
      </c>
    </row>
    <row r="17" spans="1:29" s="260" customFormat="1" ht="12.5" x14ac:dyDescent="0.25">
      <c r="A17" s="57">
        <v>13</v>
      </c>
      <c r="B17" s="57" t="s">
        <v>130</v>
      </c>
      <c r="C17" s="67">
        <v>489.60367900000011</v>
      </c>
      <c r="D17" s="67">
        <v>10.773889999999998</v>
      </c>
      <c r="E17" s="67">
        <f t="shared" ref="E17:E29" si="6">D17-C17</f>
        <v>-478.82978900000012</v>
      </c>
      <c r="F17" s="67">
        <v>625.09917399999995</v>
      </c>
      <c r="G17" s="67">
        <v>0</v>
      </c>
      <c r="H17" s="67">
        <f t="shared" si="0"/>
        <v>-625.09917399999995</v>
      </c>
      <c r="I17" s="67">
        <v>183.738845</v>
      </c>
      <c r="J17" s="67">
        <v>0</v>
      </c>
      <c r="K17" s="67">
        <f>J17-I17</f>
        <v>-183.738845</v>
      </c>
      <c r="L17" s="200">
        <v>23.060369600000001</v>
      </c>
      <c r="M17" s="200">
        <v>0.89063359999999991</v>
      </c>
      <c r="N17" s="67">
        <f t="shared" si="1"/>
        <v>-22.169736</v>
      </c>
      <c r="O17" s="259"/>
      <c r="P17" s="57">
        <v>13</v>
      </c>
      <c r="Q17" s="57" t="s">
        <v>199</v>
      </c>
      <c r="R17" s="67">
        <v>54.927999999999997</v>
      </c>
      <c r="S17" s="67">
        <v>0</v>
      </c>
      <c r="T17" s="67">
        <f t="shared" si="2"/>
        <v>-54.927999999999997</v>
      </c>
      <c r="U17" s="67">
        <v>54.928464000000012</v>
      </c>
      <c r="V17" s="67">
        <v>0</v>
      </c>
      <c r="W17" s="67">
        <f t="shared" si="3"/>
        <v>-54.928464000000012</v>
      </c>
      <c r="X17" s="67">
        <v>1047.547188</v>
      </c>
      <c r="Y17" s="67">
        <v>0</v>
      </c>
      <c r="Z17" s="67">
        <f t="shared" si="5"/>
        <v>-1047.547188</v>
      </c>
      <c r="AA17" s="67">
        <v>2.0434196</v>
      </c>
      <c r="AB17" s="67">
        <v>1.6175432000000001</v>
      </c>
      <c r="AC17" s="67">
        <f t="shared" si="4"/>
        <v>-0.42587639999999993</v>
      </c>
    </row>
    <row r="18" spans="1:29" s="260" customFormat="1" ht="12.5" x14ac:dyDescent="0.25">
      <c r="A18" s="57">
        <v>14</v>
      </c>
      <c r="B18" s="57" t="s">
        <v>132</v>
      </c>
      <c r="C18" s="67">
        <v>119.55909900000003</v>
      </c>
      <c r="D18" s="67">
        <v>3.5574299999999934</v>
      </c>
      <c r="E18" s="67">
        <f t="shared" si="6"/>
        <v>-116.00166900000004</v>
      </c>
      <c r="F18" s="67">
        <v>105.46780000000001</v>
      </c>
      <c r="G18" s="67">
        <v>834.49136800000008</v>
      </c>
      <c r="H18" s="67">
        <f t="shared" si="0"/>
        <v>729.02356800000007</v>
      </c>
      <c r="I18" s="67">
        <v>145.28192000000001</v>
      </c>
      <c r="J18" s="67">
        <v>49.594595000000012</v>
      </c>
      <c r="K18" s="67">
        <f>J18-I18</f>
        <v>-95.687325000000001</v>
      </c>
      <c r="L18" s="200">
        <v>8.7144764000000006</v>
      </c>
      <c r="M18" s="200">
        <v>8.593660400000001</v>
      </c>
      <c r="N18" s="67">
        <f t="shared" si="1"/>
        <v>-0.12081599999999959</v>
      </c>
      <c r="O18" s="261"/>
      <c r="P18" s="57">
        <v>14</v>
      </c>
      <c r="Q18" s="57" t="s">
        <v>200</v>
      </c>
      <c r="R18" s="67">
        <v>61.890999999999998</v>
      </c>
      <c r="S18" s="67">
        <v>58.317999999999998</v>
      </c>
      <c r="T18" s="67">
        <f t="shared" si="2"/>
        <v>-3.5730000000000004</v>
      </c>
      <c r="U18" s="67">
        <v>882.16872700000022</v>
      </c>
      <c r="V18" s="67">
        <v>1092.5073050000001</v>
      </c>
      <c r="W18" s="67">
        <f t="shared" si="3"/>
        <v>210.33857799999987</v>
      </c>
      <c r="X18" s="67">
        <v>18.152546999999998</v>
      </c>
      <c r="Y18" s="67">
        <v>0</v>
      </c>
      <c r="Z18" s="67">
        <f t="shared" si="5"/>
        <v>-18.152546999999998</v>
      </c>
      <c r="AA18" s="67">
        <v>9.5732768000000021</v>
      </c>
      <c r="AB18" s="67">
        <v>12.1406168</v>
      </c>
      <c r="AC18" s="67">
        <f t="shared" si="4"/>
        <v>2.567339999999998</v>
      </c>
    </row>
    <row r="19" spans="1:29" s="260" customFormat="1" ht="12.5" x14ac:dyDescent="0.25">
      <c r="A19" s="225">
        <v>15</v>
      </c>
      <c r="B19" s="57" t="s">
        <v>135</v>
      </c>
      <c r="C19" s="67">
        <v>9.2165710000000018</v>
      </c>
      <c r="D19" s="67">
        <v>140.39779499999997</v>
      </c>
      <c r="E19" s="67">
        <f t="shared" si="6"/>
        <v>131.18122399999999</v>
      </c>
      <c r="F19" s="67" t="s">
        <v>264</v>
      </c>
      <c r="G19" s="67" t="s">
        <v>264</v>
      </c>
      <c r="H19" s="67"/>
      <c r="I19" s="67" t="s">
        <v>264</v>
      </c>
      <c r="J19" s="67" t="s">
        <v>264</v>
      </c>
      <c r="K19" s="67"/>
      <c r="L19" s="200">
        <v>2.3776772000000008</v>
      </c>
      <c r="M19" s="200">
        <v>18.831809600000003</v>
      </c>
      <c r="N19" s="67">
        <f t="shared" si="1"/>
        <v>16.454132400000002</v>
      </c>
      <c r="O19" s="259"/>
      <c r="P19" s="57">
        <v>15</v>
      </c>
      <c r="Q19" s="57" t="s">
        <v>201</v>
      </c>
      <c r="R19" s="67" t="s">
        <v>264</v>
      </c>
      <c r="S19" s="67" t="s">
        <v>264</v>
      </c>
      <c r="T19" s="67"/>
      <c r="U19" s="67">
        <v>664.31551999999999</v>
      </c>
      <c r="V19" s="67">
        <v>142.44006400000001</v>
      </c>
      <c r="W19" s="67">
        <f t="shared" si="3"/>
        <v>-521.87545599999999</v>
      </c>
      <c r="X19" s="67" t="s">
        <v>264</v>
      </c>
      <c r="Y19" s="67" t="s">
        <v>264</v>
      </c>
      <c r="Z19" s="67"/>
      <c r="AA19" s="67">
        <v>2.8877831999999994</v>
      </c>
      <c r="AB19" s="67">
        <v>17.269202399999998</v>
      </c>
      <c r="AC19" s="67">
        <f t="shared" si="4"/>
        <v>14.381419199999998</v>
      </c>
    </row>
    <row r="20" spans="1:29" s="260" customFormat="1" ht="12.5" x14ac:dyDescent="0.25">
      <c r="A20" s="57">
        <v>16</v>
      </c>
      <c r="B20" s="57" t="s">
        <v>138</v>
      </c>
      <c r="C20" s="67">
        <v>155.51294999999999</v>
      </c>
      <c r="D20" s="67">
        <v>301.44290100000001</v>
      </c>
      <c r="E20" s="67">
        <f t="shared" si="6"/>
        <v>145.92995100000002</v>
      </c>
      <c r="F20" s="67">
        <v>590.46906199999989</v>
      </c>
      <c r="G20" s="67">
        <v>675.96215099999995</v>
      </c>
      <c r="H20" s="67">
        <f t="shared" si="0"/>
        <v>85.493089000000055</v>
      </c>
      <c r="I20" s="67">
        <v>14.488683000000009</v>
      </c>
      <c r="J20" s="67">
        <v>0</v>
      </c>
      <c r="K20" s="67">
        <f t="shared" ref="K20:K30" si="7">J20-I20</f>
        <v>-14.488683000000009</v>
      </c>
      <c r="L20" s="200">
        <v>2.5427924000000006</v>
      </c>
      <c r="M20" s="200">
        <v>2.4300307999999999</v>
      </c>
      <c r="N20" s="67">
        <f t="shared" si="1"/>
        <v>-0.11276160000000068</v>
      </c>
      <c r="O20" s="262"/>
      <c r="P20" s="57">
        <v>16</v>
      </c>
      <c r="Q20" s="57" t="s">
        <v>202</v>
      </c>
      <c r="R20" s="67">
        <v>199.94200000000001</v>
      </c>
      <c r="S20" s="67">
        <v>134.077</v>
      </c>
      <c r="T20" s="67">
        <f t="shared" si="2"/>
        <v>-65.865000000000009</v>
      </c>
      <c r="U20" s="67">
        <v>1080.603204</v>
      </c>
      <c r="V20" s="67">
        <v>568.23495599999978</v>
      </c>
      <c r="W20" s="67">
        <f t="shared" si="3"/>
        <v>-512.36824800000022</v>
      </c>
      <c r="X20" s="67" t="s">
        <v>264</v>
      </c>
      <c r="Y20" s="67" t="s">
        <v>264</v>
      </c>
      <c r="Z20" s="67"/>
      <c r="AA20" s="67">
        <v>13.018546400000004</v>
      </c>
      <c r="AB20" s="67">
        <v>22.958682800000002</v>
      </c>
      <c r="AC20" s="67">
        <f t="shared" si="4"/>
        <v>9.9401363999999983</v>
      </c>
    </row>
    <row r="21" spans="1:29" s="260" customFormat="1" ht="12.5" x14ac:dyDescent="0.25">
      <c r="A21" s="57">
        <v>17</v>
      </c>
      <c r="B21" s="57" t="s">
        <v>141</v>
      </c>
      <c r="C21" s="67">
        <v>79.717809000000017</v>
      </c>
      <c r="D21" s="67">
        <v>8.1189689999999963</v>
      </c>
      <c r="E21" s="67">
        <f t="shared" si="6"/>
        <v>-71.598840000000024</v>
      </c>
      <c r="F21" s="67">
        <v>144.46059999999997</v>
      </c>
      <c r="G21" s="67">
        <v>374.42177600000002</v>
      </c>
      <c r="H21" s="67">
        <f t="shared" si="0"/>
        <v>229.96117600000005</v>
      </c>
      <c r="I21" s="67">
        <v>240.26044999999999</v>
      </c>
      <c r="J21" s="67">
        <v>34.946165000000022</v>
      </c>
      <c r="K21" s="67">
        <f t="shared" si="7"/>
        <v>-205.31428499999998</v>
      </c>
      <c r="L21" s="200">
        <v>5.4937231999999998</v>
      </c>
      <c r="M21" s="200">
        <v>21.353843600000005</v>
      </c>
      <c r="N21" s="67">
        <f t="shared" si="1"/>
        <v>15.860120400000005</v>
      </c>
      <c r="O21" s="262"/>
      <c r="P21" s="57">
        <v>17</v>
      </c>
      <c r="Q21" s="57" t="s">
        <v>203</v>
      </c>
      <c r="R21" s="67">
        <v>371.15600000000001</v>
      </c>
      <c r="S21" s="67">
        <v>223.76</v>
      </c>
      <c r="T21" s="67">
        <f t="shared" si="2"/>
        <v>-147.39600000000002</v>
      </c>
      <c r="U21" s="67">
        <v>871.19004800000005</v>
      </c>
      <c r="V21" s="67">
        <v>467.179192</v>
      </c>
      <c r="W21" s="67">
        <f t="shared" si="3"/>
        <v>-404.01085600000005</v>
      </c>
      <c r="X21" s="67">
        <v>58.251503000000007</v>
      </c>
      <c r="Y21" s="67">
        <v>0</v>
      </c>
      <c r="Z21" s="67">
        <f t="shared" si="5"/>
        <v>-58.251503000000007</v>
      </c>
      <c r="AA21" s="67">
        <v>9.4987735999999998</v>
      </c>
      <c r="AB21" s="67">
        <v>20.970875200000002</v>
      </c>
      <c r="AC21" s="67">
        <f t="shared" si="4"/>
        <v>11.472101600000002</v>
      </c>
    </row>
    <row r="22" spans="1:29" s="260" customFormat="1" ht="12.5" x14ac:dyDescent="0.25">
      <c r="A22" s="57">
        <v>18</v>
      </c>
      <c r="B22" s="57" t="s">
        <v>144</v>
      </c>
      <c r="C22" s="67">
        <v>13.315659000000002</v>
      </c>
      <c r="D22" s="67">
        <v>0</v>
      </c>
      <c r="E22" s="67">
        <f t="shared" si="6"/>
        <v>-13.315659000000002</v>
      </c>
      <c r="F22" s="67">
        <v>29.679975999999996</v>
      </c>
      <c r="G22" s="67">
        <v>12.452248000000004</v>
      </c>
      <c r="H22" s="67">
        <f t="shared" si="0"/>
        <v>-17.227727999999992</v>
      </c>
      <c r="I22" s="67">
        <v>59.045195000000021</v>
      </c>
      <c r="J22" s="67">
        <v>30.220865000000011</v>
      </c>
      <c r="K22" s="67">
        <f t="shared" si="7"/>
        <v>-28.82433000000001</v>
      </c>
      <c r="L22" s="200">
        <v>1.2886632000000002</v>
      </c>
      <c r="M22" s="200">
        <v>0.78227520000000006</v>
      </c>
      <c r="N22" s="67">
        <f t="shared" si="1"/>
        <v>-0.50638800000000017</v>
      </c>
      <c r="O22" s="262"/>
      <c r="P22" s="57">
        <v>18</v>
      </c>
      <c r="Q22" s="57" t="s">
        <v>204</v>
      </c>
      <c r="R22" s="67">
        <v>90.92</v>
      </c>
      <c r="S22" s="67">
        <v>0</v>
      </c>
      <c r="T22" s="67">
        <f t="shared" si="2"/>
        <v>-90.92</v>
      </c>
      <c r="U22" s="67">
        <v>546.40547200000003</v>
      </c>
      <c r="V22" s="67">
        <v>596.20991200000003</v>
      </c>
      <c r="W22" s="67">
        <f t="shared" si="3"/>
        <v>49.80444</v>
      </c>
      <c r="X22" s="67">
        <v>35.182430000000025</v>
      </c>
      <c r="Y22" s="67">
        <v>0</v>
      </c>
      <c r="Z22" s="67">
        <f t="shared" si="5"/>
        <v>-35.182430000000025</v>
      </c>
      <c r="AA22" s="67">
        <v>7.5572135999999999</v>
      </c>
      <c r="AB22" s="67">
        <v>16.281784799999997</v>
      </c>
      <c r="AC22" s="67">
        <f t="shared" si="4"/>
        <v>8.7245711999999962</v>
      </c>
    </row>
    <row r="23" spans="1:29" s="260" customFormat="1" ht="12.5" x14ac:dyDescent="0.25">
      <c r="A23" s="57">
        <v>19</v>
      </c>
      <c r="B23" s="57" t="s">
        <v>145</v>
      </c>
      <c r="C23" s="67">
        <v>223.43065559999999</v>
      </c>
      <c r="D23" s="67">
        <v>402.23906640000007</v>
      </c>
      <c r="E23" s="67">
        <f t="shared" si="6"/>
        <v>178.80841080000008</v>
      </c>
      <c r="F23" s="67">
        <v>929.253872</v>
      </c>
      <c r="G23" s="67">
        <v>567.53247999999996</v>
      </c>
      <c r="H23" s="67">
        <f t="shared" si="0"/>
        <v>-361.72139200000004</v>
      </c>
      <c r="I23" s="67">
        <v>33.292310000000001</v>
      </c>
      <c r="J23" s="67">
        <v>0</v>
      </c>
      <c r="K23" s="67">
        <f t="shared" si="7"/>
        <v>-33.292310000000001</v>
      </c>
      <c r="L23" s="200">
        <v>12.4771728</v>
      </c>
      <c r="M23" s="200">
        <v>9.4041971999999987</v>
      </c>
      <c r="N23" s="67">
        <f t="shared" si="1"/>
        <v>-3.0729756000000013</v>
      </c>
      <c r="O23" s="262"/>
      <c r="P23" s="57">
        <v>19</v>
      </c>
      <c r="Q23" s="57" t="s">
        <v>205</v>
      </c>
      <c r="R23" s="67" t="s">
        <v>264</v>
      </c>
      <c r="S23" s="67" t="s">
        <v>264</v>
      </c>
      <c r="T23" s="67"/>
      <c r="U23" s="67">
        <v>329.21557599999994</v>
      </c>
      <c r="V23" s="67">
        <v>241.90715199999997</v>
      </c>
      <c r="W23" s="67">
        <f t="shared" si="3"/>
        <v>-87.308423999999974</v>
      </c>
      <c r="X23" s="67" t="s">
        <v>264</v>
      </c>
      <c r="Y23" s="67" t="s">
        <v>264</v>
      </c>
      <c r="Z23" s="67"/>
      <c r="AA23" s="67">
        <v>2.1042144</v>
      </c>
      <c r="AB23" s="67">
        <v>4.3429823999999995</v>
      </c>
      <c r="AC23" s="67">
        <f t="shared" si="4"/>
        <v>2.2387679999999994</v>
      </c>
    </row>
    <row r="24" spans="1:29" s="260" customFormat="1" ht="12.5" x14ac:dyDescent="0.25">
      <c r="A24" s="57">
        <v>20</v>
      </c>
      <c r="B24" s="57" t="s">
        <v>146</v>
      </c>
      <c r="C24" s="67">
        <v>32.196965999999996</v>
      </c>
      <c r="D24" s="67">
        <v>0</v>
      </c>
      <c r="E24" s="67">
        <f t="shared" si="6"/>
        <v>-32.196965999999996</v>
      </c>
      <c r="F24" s="67">
        <v>52.047664000000012</v>
      </c>
      <c r="G24" s="67">
        <v>54.954400000000007</v>
      </c>
      <c r="H24" s="67">
        <f t="shared" si="0"/>
        <v>2.9067359999999951</v>
      </c>
      <c r="I24" s="67">
        <v>127.79831000000001</v>
      </c>
      <c r="J24" s="67">
        <v>30.457130000000021</v>
      </c>
      <c r="K24" s="67">
        <f t="shared" si="7"/>
        <v>-97.341179999999994</v>
      </c>
      <c r="L24" s="67" t="s">
        <v>264</v>
      </c>
      <c r="M24" s="67" t="s">
        <v>264</v>
      </c>
      <c r="N24" s="67"/>
      <c r="O24" s="262"/>
      <c r="P24" s="57">
        <v>20</v>
      </c>
      <c r="Q24" s="57" t="s">
        <v>206</v>
      </c>
      <c r="R24" s="67">
        <v>51.366999999999997</v>
      </c>
      <c r="S24" s="67">
        <v>2.2290000000000001</v>
      </c>
      <c r="T24" s="67">
        <f t="shared" si="2"/>
        <v>-49.137999999999998</v>
      </c>
      <c r="U24" s="67">
        <v>657.10957599999995</v>
      </c>
      <c r="V24" s="67">
        <v>342.22499199999993</v>
      </c>
      <c r="W24" s="67">
        <f t="shared" si="3"/>
        <v>-314.88458400000002</v>
      </c>
      <c r="X24" s="67">
        <v>26.676890000000011</v>
      </c>
      <c r="Y24" s="67">
        <v>0</v>
      </c>
      <c r="Z24" s="67">
        <f t="shared" si="5"/>
        <v>-26.676890000000011</v>
      </c>
      <c r="AA24" s="67">
        <v>7.9469795999999988</v>
      </c>
      <c r="AB24" s="67">
        <v>10.6648368</v>
      </c>
      <c r="AC24" s="67">
        <f t="shared" si="4"/>
        <v>2.717857200000001</v>
      </c>
    </row>
    <row r="25" spans="1:29" s="260" customFormat="1" ht="12.5" x14ac:dyDescent="0.25">
      <c r="A25" s="57">
        <v>21</v>
      </c>
      <c r="B25" s="57" t="s">
        <v>147</v>
      </c>
      <c r="C25" s="67">
        <v>12.445041599999998</v>
      </c>
      <c r="D25" s="67">
        <v>15.605330399999993</v>
      </c>
      <c r="E25" s="67">
        <f t="shared" si="6"/>
        <v>3.1602887999999947</v>
      </c>
      <c r="F25" s="67">
        <v>18.336616000000006</v>
      </c>
      <c r="G25" s="67">
        <v>243.89223999999999</v>
      </c>
      <c r="H25" s="67">
        <f t="shared" si="0"/>
        <v>225.55562399999997</v>
      </c>
      <c r="I25" s="67">
        <v>89.995910000000023</v>
      </c>
      <c r="J25" s="67">
        <v>0</v>
      </c>
      <c r="K25" s="67">
        <f t="shared" si="7"/>
        <v>-89.995910000000023</v>
      </c>
      <c r="L25" s="67" t="s">
        <v>264</v>
      </c>
      <c r="M25" s="67" t="s">
        <v>264</v>
      </c>
      <c r="N25" s="67"/>
      <c r="O25" s="262"/>
      <c r="P25" s="57">
        <v>21</v>
      </c>
      <c r="Q25" s="57" t="s">
        <v>207</v>
      </c>
      <c r="R25" s="67">
        <v>81.566000000000003</v>
      </c>
      <c r="S25" s="67">
        <v>23.998000000000001</v>
      </c>
      <c r="T25" s="67">
        <f t="shared" si="2"/>
        <v>-57.567999999999998</v>
      </c>
      <c r="U25" s="67">
        <v>634.18471999999997</v>
      </c>
      <c r="V25" s="67">
        <v>327.54951999999997</v>
      </c>
      <c r="W25" s="67">
        <f t="shared" si="3"/>
        <v>-306.6352</v>
      </c>
      <c r="X25" s="67">
        <v>47.940740000000005</v>
      </c>
      <c r="Y25" s="67">
        <v>23.369180000000014</v>
      </c>
      <c r="Z25" s="67">
        <f t="shared" si="5"/>
        <v>-24.571559999999991</v>
      </c>
      <c r="AA25" s="67">
        <v>9.6653868000000003</v>
      </c>
      <c r="AB25" s="67">
        <v>5.0252735999999993</v>
      </c>
      <c r="AC25" s="67">
        <f t="shared" si="4"/>
        <v>-4.6401132000000009</v>
      </c>
    </row>
    <row r="26" spans="1:29" s="260" customFormat="1" ht="12.5" x14ac:dyDescent="0.25">
      <c r="A26" s="57">
        <v>22</v>
      </c>
      <c r="B26" s="57" t="s">
        <v>148</v>
      </c>
      <c r="C26" s="67">
        <v>22.422686399999993</v>
      </c>
      <c r="D26" s="67">
        <v>15.8824872</v>
      </c>
      <c r="E26" s="67">
        <f t="shared" si="6"/>
        <v>-6.5401991999999929</v>
      </c>
      <c r="F26" s="67">
        <v>8.7302080000000046</v>
      </c>
      <c r="G26" s="67">
        <v>1043.3864320000002</v>
      </c>
      <c r="H26" s="67">
        <f t="shared" si="0"/>
        <v>1034.6562240000003</v>
      </c>
      <c r="I26" s="67">
        <v>39.907729999999994</v>
      </c>
      <c r="J26" s="67">
        <v>30.929660000000002</v>
      </c>
      <c r="K26" s="67">
        <f t="shared" si="7"/>
        <v>-8.9780699999999918</v>
      </c>
      <c r="L26" s="200">
        <v>1.3019892000000002</v>
      </c>
      <c r="M26" s="200">
        <v>28.004627999999997</v>
      </c>
      <c r="N26" s="67">
        <f t="shared" si="1"/>
        <v>26.702638799999995</v>
      </c>
      <c r="O26" s="262"/>
      <c r="P26" s="57">
        <v>22</v>
      </c>
      <c r="Q26" s="57" t="s">
        <v>208</v>
      </c>
      <c r="R26" s="67" t="s">
        <v>264</v>
      </c>
      <c r="S26" s="67" t="s">
        <v>264</v>
      </c>
      <c r="T26" s="67"/>
      <c r="U26" s="67">
        <v>783.48169600000006</v>
      </c>
      <c r="V26" s="67">
        <v>606.63162399999999</v>
      </c>
      <c r="W26" s="67">
        <f t="shared" si="3"/>
        <v>-176.85007200000007</v>
      </c>
      <c r="X26" s="67">
        <v>29.51207000000003</v>
      </c>
      <c r="Y26" s="67">
        <v>0</v>
      </c>
      <c r="Z26" s="67">
        <f t="shared" si="5"/>
        <v>-29.51207000000003</v>
      </c>
      <c r="AA26" s="67">
        <v>6.9841955999999996</v>
      </c>
      <c r="AB26" s="67">
        <v>4.0764623999999996</v>
      </c>
      <c r="AC26" s="67">
        <f t="shared" si="4"/>
        <v>-2.9077332</v>
      </c>
    </row>
    <row r="27" spans="1:29" s="260" customFormat="1" ht="12.5" x14ac:dyDescent="0.25">
      <c r="A27" s="57">
        <v>23</v>
      </c>
      <c r="B27" s="57" t="s">
        <v>149</v>
      </c>
      <c r="C27" s="67">
        <v>28.790246999999994</v>
      </c>
      <c r="D27" s="67">
        <v>3.8461349999999936</v>
      </c>
      <c r="E27" s="67">
        <f t="shared" si="6"/>
        <v>-24.944112000000001</v>
      </c>
      <c r="F27" s="67">
        <v>775.54134399999998</v>
      </c>
      <c r="G27" s="67">
        <v>58.747336000000004</v>
      </c>
      <c r="H27" s="67">
        <f t="shared" si="0"/>
        <v>-716.79400799999996</v>
      </c>
      <c r="I27" s="67">
        <v>53.138570000000016</v>
      </c>
      <c r="J27" s="67">
        <v>27.621950000000005</v>
      </c>
      <c r="K27" s="67">
        <f t="shared" si="7"/>
        <v>-25.51662000000001</v>
      </c>
      <c r="L27" s="200">
        <v>2.3041043999999999</v>
      </c>
      <c r="M27" s="200">
        <v>5.4490404000000003</v>
      </c>
      <c r="N27" s="67">
        <f t="shared" si="1"/>
        <v>3.1449360000000004</v>
      </c>
      <c r="O27" s="262"/>
      <c r="P27" s="57">
        <v>23</v>
      </c>
      <c r="Q27" s="57" t="s">
        <v>209</v>
      </c>
      <c r="R27" s="67" t="s">
        <v>264</v>
      </c>
      <c r="S27" s="67" t="s">
        <v>264</v>
      </c>
      <c r="T27" s="67"/>
      <c r="U27" s="67">
        <v>1655.0871199999999</v>
      </c>
      <c r="V27" s="67">
        <v>1046.4704079999999</v>
      </c>
      <c r="W27" s="67">
        <f t="shared" si="3"/>
        <v>-608.61671200000001</v>
      </c>
      <c r="X27" s="67">
        <v>33.056044999999997</v>
      </c>
      <c r="Y27" s="67">
        <v>0</v>
      </c>
      <c r="Z27" s="67">
        <f t="shared" si="5"/>
        <v>-33.056044999999997</v>
      </c>
      <c r="AA27" s="67">
        <v>2.9517480000000003</v>
      </c>
      <c r="AB27" s="67">
        <v>10.691488799999998</v>
      </c>
      <c r="AC27" s="67">
        <f t="shared" si="4"/>
        <v>7.7397407999999981</v>
      </c>
    </row>
    <row r="28" spans="1:29" s="260" customFormat="1" ht="12.5" x14ac:dyDescent="0.25">
      <c r="A28" s="57">
        <v>24</v>
      </c>
      <c r="B28" s="57" t="s">
        <v>150</v>
      </c>
      <c r="C28" s="67">
        <v>104.48869800000003</v>
      </c>
      <c r="D28" s="67">
        <v>0</v>
      </c>
      <c r="E28" s="67">
        <f t="shared" si="6"/>
        <v>-104.48869800000003</v>
      </c>
      <c r="F28" s="67">
        <v>477.459112</v>
      </c>
      <c r="G28" s="67">
        <v>643.10761600000001</v>
      </c>
      <c r="H28" s="67">
        <f t="shared" si="0"/>
        <v>165.648504</v>
      </c>
      <c r="I28" s="67">
        <v>79.83651500000002</v>
      </c>
      <c r="J28" s="67">
        <v>0</v>
      </c>
      <c r="K28" s="67">
        <f t="shared" si="7"/>
        <v>-79.83651500000002</v>
      </c>
      <c r="L28" s="200">
        <v>10.899374399999999</v>
      </c>
      <c r="M28" s="200">
        <v>5.0679167999999999</v>
      </c>
      <c r="N28" s="67">
        <f t="shared" si="1"/>
        <v>-5.8314575999999994</v>
      </c>
      <c r="O28" s="224"/>
      <c r="P28" s="57">
        <v>24</v>
      </c>
      <c r="Q28" s="57" t="s">
        <v>210</v>
      </c>
      <c r="R28" s="67">
        <v>46.031999999999996</v>
      </c>
      <c r="S28" s="67">
        <v>0</v>
      </c>
      <c r="T28" s="67">
        <f t="shared" si="2"/>
        <v>-46.031999999999996</v>
      </c>
      <c r="U28" s="67">
        <v>941.44798400000002</v>
      </c>
      <c r="V28" s="67">
        <v>39.959896000000001</v>
      </c>
      <c r="W28" s="67">
        <f t="shared" si="3"/>
        <v>-901.48808800000006</v>
      </c>
      <c r="X28" s="67">
        <v>1315.9539399999999</v>
      </c>
      <c r="Y28" s="67">
        <v>0</v>
      </c>
      <c r="Z28" s="67">
        <f t="shared" si="5"/>
        <v>-1315.9539399999999</v>
      </c>
      <c r="AA28" s="67">
        <v>17.024003999999998</v>
      </c>
      <c r="AB28" s="67">
        <v>2.3121000000000005</v>
      </c>
      <c r="AC28" s="67">
        <f t="shared" si="4"/>
        <v>-14.711903999999997</v>
      </c>
    </row>
    <row r="29" spans="1:29" s="260" customFormat="1" ht="12.5" x14ac:dyDescent="0.25">
      <c r="A29" s="57">
        <v>25</v>
      </c>
      <c r="B29" s="57" t="s">
        <v>168</v>
      </c>
      <c r="C29" s="67">
        <v>73.340208000000004</v>
      </c>
      <c r="D29" s="67">
        <v>0</v>
      </c>
      <c r="E29" s="67">
        <f t="shared" si="6"/>
        <v>-73.340208000000004</v>
      </c>
      <c r="F29" s="67">
        <v>374.813785</v>
      </c>
      <c r="G29" s="67">
        <v>389.152243</v>
      </c>
      <c r="H29" s="67">
        <f t="shared" si="0"/>
        <v>14.338458000000003</v>
      </c>
      <c r="I29" s="67">
        <v>15.763890000000007</v>
      </c>
      <c r="J29" s="67">
        <v>0</v>
      </c>
      <c r="K29" s="67">
        <f t="shared" si="7"/>
        <v>-15.763890000000007</v>
      </c>
      <c r="L29" s="200">
        <v>1.0572781599999999</v>
      </c>
      <c r="M29" s="200">
        <v>1.8195642400000001</v>
      </c>
      <c r="N29" s="67">
        <f t="shared" si="1"/>
        <v>0.7622860800000002</v>
      </c>
      <c r="O29" s="224"/>
      <c r="P29" s="57">
        <v>25</v>
      </c>
      <c r="Q29" s="57" t="s">
        <v>211</v>
      </c>
      <c r="R29" s="67">
        <v>78.159000000000006</v>
      </c>
      <c r="S29" s="67">
        <v>301.03899999999999</v>
      </c>
      <c r="T29" s="67">
        <f t="shared" si="2"/>
        <v>222.88</v>
      </c>
      <c r="U29" s="67">
        <v>713.25920800000006</v>
      </c>
      <c r="V29" s="67">
        <v>1072.4892400000003</v>
      </c>
      <c r="W29" s="67">
        <f t="shared" si="3"/>
        <v>359.23003200000028</v>
      </c>
      <c r="X29" s="67">
        <v>121.89168500000001</v>
      </c>
      <c r="Y29" s="67">
        <v>36.600020000000001</v>
      </c>
      <c r="Z29" s="67">
        <f t="shared" si="5"/>
        <v>-85.291665000000009</v>
      </c>
      <c r="AA29" s="67">
        <v>1.2540156</v>
      </c>
      <c r="AB29" s="67">
        <v>13.559244</v>
      </c>
      <c r="AC29" s="67">
        <f t="shared" si="4"/>
        <v>12.305228399999999</v>
      </c>
    </row>
    <row r="30" spans="1:29" s="260" customFormat="1" ht="12.5" x14ac:dyDescent="0.25">
      <c r="A30" s="57">
        <v>26</v>
      </c>
      <c r="B30" s="57" t="s">
        <v>151</v>
      </c>
      <c r="C30" s="67" t="s">
        <v>264</v>
      </c>
      <c r="D30" s="67" t="s">
        <v>264</v>
      </c>
      <c r="E30" s="67"/>
      <c r="F30" s="67">
        <v>370.19346400000006</v>
      </c>
      <c r="G30" s="67">
        <v>94.797952000000009</v>
      </c>
      <c r="H30" s="67">
        <f t="shared" si="0"/>
        <v>-275.39551200000005</v>
      </c>
      <c r="I30" s="67">
        <v>20.533999999999999</v>
      </c>
      <c r="J30" s="67">
        <v>22.187855000000013</v>
      </c>
      <c r="K30" s="67">
        <f t="shared" si="7"/>
        <v>1.6538550000000143</v>
      </c>
      <c r="L30" s="200">
        <v>21.2856588</v>
      </c>
      <c r="M30" s="200">
        <v>5.155868400000001</v>
      </c>
      <c r="N30" s="67">
        <f t="shared" si="1"/>
        <v>-16.129790399999997</v>
      </c>
      <c r="O30" s="224"/>
      <c r="P30" s="57">
        <v>26</v>
      </c>
      <c r="Q30" s="57" t="s">
        <v>212</v>
      </c>
      <c r="R30" s="67">
        <v>8.7539999999999996</v>
      </c>
      <c r="S30" s="67">
        <v>3.0960000000000001</v>
      </c>
      <c r="T30" s="67">
        <f t="shared" si="2"/>
        <v>-5.6579999999999995</v>
      </c>
      <c r="U30" s="67">
        <v>741.15678400000002</v>
      </c>
      <c r="V30" s="67">
        <v>203.80055200000001</v>
      </c>
      <c r="W30" s="67">
        <f t="shared" si="3"/>
        <v>-537.35623199999998</v>
      </c>
      <c r="X30" s="67" t="s">
        <v>264</v>
      </c>
      <c r="Y30" s="67" t="s">
        <v>264</v>
      </c>
      <c r="Z30" s="67"/>
      <c r="AA30" s="67">
        <v>9.3162455999999985</v>
      </c>
      <c r="AB30" s="67">
        <v>2.5546331999999996</v>
      </c>
      <c r="AC30" s="67">
        <f t="shared" si="4"/>
        <v>-6.7616123999999989</v>
      </c>
    </row>
    <row r="31" spans="1:29" s="260" customFormat="1" ht="12.5" x14ac:dyDescent="0.25">
      <c r="A31" s="57">
        <v>27</v>
      </c>
      <c r="B31" s="57" t="s">
        <v>152</v>
      </c>
      <c r="C31" s="67" t="s">
        <v>264</v>
      </c>
      <c r="D31" s="67" t="s">
        <v>264</v>
      </c>
      <c r="E31" s="67"/>
      <c r="F31" s="67">
        <v>184.967848</v>
      </c>
      <c r="G31" s="67">
        <v>2091.1844000000001</v>
      </c>
      <c r="H31" s="67">
        <f t="shared" si="0"/>
        <v>1906.2165520000001</v>
      </c>
      <c r="I31" s="67" t="s">
        <v>264</v>
      </c>
      <c r="J31" s="67" t="s">
        <v>264</v>
      </c>
      <c r="K31" s="67"/>
      <c r="L31" s="200">
        <v>4.2949511200000003</v>
      </c>
      <c r="M31" s="200">
        <v>12.052292000000001</v>
      </c>
      <c r="N31" s="67">
        <f t="shared" si="1"/>
        <v>7.757340880000001</v>
      </c>
      <c r="O31" s="224"/>
      <c r="P31" s="57">
        <v>27</v>
      </c>
      <c r="Q31" s="57" t="s">
        <v>213</v>
      </c>
      <c r="R31" s="67">
        <v>14.875</v>
      </c>
      <c r="S31" s="67">
        <v>1.998</v>
      </c>
      <c r="T31" s="67">
        <f t="shared" si="2"/>
        <v>-12.877000000000001</v>
      </c>
      <c r="U31" s="67">
        <v>61.902208000000016</v>
      </c>
      <c r="V31" s="67">
        <v>671.71415200000001</v>
      </c>
      <c r="W31" s="67">
        <f t="shared" si="3"/>
        <v>609.81194400000004</v>
      </c>
      <c r="X31" s="67">
        <v>49.594595000000012</v>
      </c>
      <c r="Y31" s="67">
        <v>0</v>
      </c>
      <c r="Z31" s="67">
        <f t="shared" si="5"/>
        <v>-49.594595000000012</v>
      </c>
      <c r="AA31" s="67" t="s">
        <v>264</v>
      </c>
      <c r="AB31" s="67" t="s">
        <v>264</v>
      </c>
      <c r="AC31" s="67"/>
    </row>
    <row r="32" spans="1:29" s="260" customFormat="1" ht="12.5" x14ac:dyDescent="0.25">
      <c r="A32" s="57">
        <v>28</v>
      </c>
      <c r="B32" s="57" t="s">
        <v>153</v>
      </c>
      <c r="C32" s="67">
        <v>88.147995000000009</v>
      </c>
      <c r="D32" s="67">
        <v>0</v>
      </c>
      <c r="E32" s="67">
        <f t="shared" ref="E32:E37" si="8">D32-C32</f>
        <v>-88.147995000000009</v>
      </c>
      <c r="F32" s="67">
        <v>870.79012000000012</v>
      </c>
      <c r="G32" s="67">
        <v>499.68500800000004</v>
      </c>
      <c r="H32" s="67">
        <f t="shared" si="0"/>
        <v>-371.10511200000008</v>
      </c>
      <c r="I32" s="67" t="s">
        <v>264</v>
      </c>
      <c r="J32" s="67" t="s">
        <v>264</v>
      </c>
      <c r="K32" s="67"/>
      <c r="L32" s="200">
        <v>2.0162627999999998</v>
      </c>
      <c r="M32" s="200">
        <v>7.1707595999999993</v>
      </c>
      <c r="N32" s="67">
        <f t="shared" si="1"/>
        <v>5.1544967999999995</v>
      </c>
      <c r="O32" s="224"/>
      <c r="P32" s="57">
        <v>28</v>
      </c>
      <c r="Q32" s="57" t="s">
        <v>214</v>
      </c>
      <c r="R32" s="67">
        <v>12.853999999999999</v>
      </c>
      <c r="S32" s="67">
        <v>34.738</v>
      </c>
      <c r="T32" s="67">
        <f t="shared" si="2"/>
        <v>21.884</v>
      </c>
      <c r="U32" s="67">
        <v>598.58492799999999</v>
      </c>
      <c r="V32" s="67">
        <v>770.40138400000001</v>
      </c>
      <c r="W32" s="67">
        <f t="shared" si="3"/>
        <v>171.81645600000002</v>
      </c>
      <c r="X32" s="67" t="s">
        <v>264</v>
      </c>
      <c r="Y32" s="67" t="s">
        <v>264</v>
      </c>
      <c r="Z32" s="67"/>
      <c r="AA32" s="67">
        <v>2.3200956000000001</v>
      </c>
      <c r="AB32" s="67">
        <v>3.1143251999999997</v>
      </c>
      <c r="AC32" s="67">
        <f t="shared" si="4"/>
        <v>0.79422959999999954</v>
      </c>
    </row>
    <row r="33" spans="1:29" s="260" customFormat="1" ht="12.5" x14ac:dyDescent="0.25">
      <c r="A33" s="57">
        <v>29</v>
      </c>
      <c r="B33" s="57" t="s">
        <v>154</v>
      </c>
      <c r="C33" s="67">
        <v>194.68014000000002</v>
      </c>
      <c r="D33" s="67">
        <v>0</v>
      </c>
      <c r="E33" s="67">
        <f t="shared" si="8"/>
        <v>-194.68014000000002</v>
      </c>
      <c r="F33" s="67">
        <v>680.00898400000005</v>
      </c>
      <c r="G33" s="67">
        <f>2*262.466992</f>
        <v>524.93398400000001</v>
      </c>
      <c r="H33" s="67">
        <f t="shared" si="0"/>
        <v>-155.07500000000005</v>
      </c>
      <c r="I33" s="67">
        <v>544.80603500000007</v>
      </c>
      <c r="J33" s="67">
        <v>0</v>
      </c>
      <c r="K33" s="67">
        <f>J33-I33</f>
        <v>-544.80603500000007</v>
      </c>
      <c r="L33" s="200">
        <v>13.583230799999999</v>
      </c>
      <c r="M33" s="200">
        <v>4.4709120000000002</v>
      </c>
      <c r="N33" s="67">
        <f t="shared" si="1"/>
        <v>-9.1123187999999988</v>
      </c>
      <c r="O33" s="224"/>
      <c r="P33" s="57">
        <v>29</v>
      </c>
      <c r="Q33" s="57" t="s">
        <v>215</v>
      </c>
      <c r="R33" s="67">
        <v>3.2109999999999999</v>
      </c>
      <c r="S33" s="67">
        <v>38.317999999999998</v>
      </c>
      <c r="T33" s="67">
        <f t="shared" si="2"/>
        <v>35.106999999999999</v>
      </c>
      <c r="U33" s="67">
        <v>149.35242399999998</v>
      </c>
      <c r="V33" s="67">
        <v>635.91167199999995</v>
      </c>
      <c r="W33" s="67">
        <f t="shared" si="3"/>
        <v>486.55924799999997</v>
      </c>
      <c r="X33" s="67">
        <v>49.830860000000015</v>
      </c>
      <c r="Y33" s="67">
        <v>44.39676500000003</v>
      </c>
      <c r="Z33" s="67">
        <f t="shared" si="5"/>
        <v>-5.434094999999985</v>
      </c>
      <c r="AA33" s="67">
        <v>2.9144351999999993</v>
      </c>
      <c r="AB33" s="67">
        <v>3.6526955999999999</v>
      </c>
      <c r="AC33" s="67">
        <f t="shared" si="4"/>
        <v>0.73826040000000059</v>
      </c>
    </row>
    <row r="34" spans="1:29" s="260" customFormat="1" ht="12.5" x14ac:dyDescent="0.25">
      <c r="A34" s="57">
        <v>30</v>
      </c>
      <c r="B34" s="57" t="s">
        <v>155</v>
      </c>
      <c r="C34" s="67">
        <v>26.884793999999996</v>
      </c>
      <c r="D34" s="67">
        <v>0</v>
      </c>
      <c r="E34" s="67">
        <f t="shared" si="8"/>
        <v>-26.884793999999996</v>
      </c>
      <c r="F34" s="67">
        <v>151.808336</v>
      </c>
      <c r="G34" s="67">
        <v>748.03369600000008</v>
      </c>
      <c r="H34" s="67">
        <f t="shared" si="0"/>
        <v>596.22536000000014</v>
      </c>
      <c r="I34" s="67">
        <v>47.23194500000001</v>
      </c>
      <c r="J34" s="67">
        <v>0</v>
      </c>
      <c r="K34" s="67">
        <f>J34-I34</f>
        <v>-47.23194500000001</v>
      </c>
      <c r="L34" s="200">
        <v>19.689203999999997</v>
      </c>
      <c r="M34" s="200">
        <v>12.3066</v>
      </c>
      <c r="N34" s="67">
        <f t="shared" si="1"/>
        <v>-7.3826039999999971</v>
      </c>
      <c r="O34" s="224"/>
      <c r="P34" s="57">
        <v>30</v>
      </c>
      <c r="Q34" s="57" t="s">
        <v>216</v>
      </c>
      <c r="R34" s="67">
        <v>167.13800000000001</v>
      </c>
      <c r="S34" s="67">
        <v>20.995000000000001</v>
      </c>
      <c r="T34" s="67">
        <f t="shared" si="2"/>
        <v>-146.143</v>
      </c>
      <c r="U34" s="67">
        <v>357.60942399999999</v>
      </c>
      <c r="V34" s="67">
        <v>1046.4704080000001</v>
      </c>
      <c r="W34" s="67">
        <f t="shared" si="3"/>
        <v>688.86098400000014</v>
      </c>
      <c r="X34" s="67">
        <v>31.402190000000015</v>
      </c>
      <c r="Y34" s="67">
        <v>42.034115000000021</v>
      </c>
      <c r="Z34" s="67">
        <f t="shared" si="5"/>
        <v>10.631925000000006</v>
      </c>
      <c r="AA34" s="67">
        <v>2.7065495999999993</v>
      </c>
      <c r="AB34" s="67">
        <v>14.116270799999999</v>
      </c>
      <c r="AC34" s="67">
        <f t="shared" si="4"/>
        <v>11.4097212</v>
      </c>
    </row>
    <row r="35" spans="1:29" s="260" customFormat="1" ht="12.5" x14ac:dyDescent="0.25">
      <c r="A35" s="57">
        <v>31</v>
      </c>
      <c r="B35" s="57" t="s">
        <v>156</v>
      </c>
      <c r="C35" s="67">
        <v>75.156270000000006</v>
      </c>
      <c r="D35" s="67">
        <v>3.3264659999999946</v>
      </c>
      <c r="E35" s="67">
        <f t="shared" si="8"/>
        <v>-71.82980400000001</v>
      </c>
      <c r="F35" s="67">
        <v>495.72483199999999</v>
      </c>
      <c r="G35" s="67">
        <v>836.68914400000017</v>
      </c>
      <c r="H35" s="67">
        <f t="shared" si="0"/>
        <v>340.96431200000018</v>
      </c>
      <c r="I35" s="67">
        <v>34.473635000000009</v>
      </c>
      <c r="J35" s="67">
        <v>0</v>
      </c>
      <c r="K35" s="67">
        <f>J35-I35</f>
        <v>-34.473635000000009</v>
      </c>
      <c r="L35" s="200">
        <v>36.266747999999993</v>
      </c>
      <c r="M35" s="200">
        <v>7.0055171999999999</v>
      </c>
      <c r="N35" s="67">
        <f t="shared" si="1"/>
        <v>-29.261230799999993</v>
      </c>
      <c r="O35" s="224"/>
      <c r="P35" s="57">
        <v>31</v>
      </c>
      <c r="Q35" s="57" t="s">
        <v>217</v>
      </c>
      <c r="R35" s="67">
        <v>190.465</v>
      </c>
      <c r="S35" s="67">
        <v>3.673</v>
      </c>
      <c r="T35" s="67">
        <f t="shared" si="2"/>
        <v>-186.792</v>
      </c>
      <c r="U35" s="67">
        <v>579.47845599999994</v>
      </c>
      <c r="V35" s="67">
        <v>871.81811200000016</v>
      </c>
      <c r="W35" s="67">
        <f t="shared" si="3"/>
        <v>292.33965600000022</v>
      </c>
      <c r="X35" s="67">
        <v>107.24325500000003</v>
      </c>
      <c r="Y35" s="67">
        <v>0</v>
      </c>
      <c r="Z35" s="67">
        <f t="shared" si="5"/>
        <v>-107.24325500000003</v>
      </c>
      <c r="AA35" s="67">
        <v>3.2475851999999996</v>
      </c>
      <c r="AB35" s="67">
        <v>12.363940799999998</v>
      </c>
      <c r="AC35" s="67">
        <f t="shared" si="4"/>
        <v>9.1163555999999986</v>
      </c>
    </row>
    <row r="36" spans="1:29" s="260" customFormat="1" ht="12.5" x14ac:dyDescent="0.25">
      <c r="A36" s="57">
        <v>32</v>
      </c>
      <c r="B36" s="57" t="s">
        <v>157</v>
      </c>
      <c r="C36" s="67">
        <v>15.567558000000004</v>
      </c>
      <c r="D36" s="67">
        <v>14.181773999999992</v>
      </c>
      <c r="E36" s="67">
        <f t="shared" si="8"/>
        <v>-1.3857840000000117</v>
      </c>
      <c r="F36" s="67">
        <v>611.20441600000004</v>
      </c>
      <c r="G36" s="67">
        <v>105.21966399999999</v>
      </c>
      <c r="H36" s="67">
        <f t="shared" si="0"/>
        <v>-505.98475200000007</v>
      </c>
      <c r="I36" s="67">
        <v>39.198935000000006</v>
      </c>
      <c r="J36" s="67">
        <v>34.001105000000024</v>
      </c>
      <c r="K36" s="67">
        <f>J36-I36</f>
        <v>-5.197829999999982</v>
      </c>
      <c r="L36" s="200">
        <v>4.7907360000000008</v>
      </c>
      <c r="M36" s="200">
        <v>3.7299864</v>
      </c>
      <c r="N36" s="67">
        <f t="shared" si="1"/>
        <v>-1.0607496000000007</v>
      </c>
      <c r="O36" s="224"/>
      <c r="P36" s="57">
        <v>32</v>
      </c>
      <c r="Q36" s="57" t="s">
        <v>218</v>
      </c>
      <c r="R36" s="67">
        <v>46.673568000000003</v>
      </c>
      <c r="S36" s="67">
        <v>4.8958320000000004</v>
      </c>
      <c r="T36" s="67">
        <f t="shared" si="2"/>
        <v>-41.777736000000004</v>
      </c>
      <c r="U36" s="67">
        <v>376.55658099999999</v>
      </c>
      <c r="V36" s="67">
        <v>160.52909499999998</v>
      </c>
      <c r="W36" s="67">
        <f t="shared" si="3"/>
        <v>-216.02748600000001</v>
      </c>
      <c r="X36" s="67" t="s">
        <v>264</v>
      </c>
      <c r="Y36" s="67" t="s">
        <v>264</v>
      </c>
      <c r="Z36" s="67"/>
      <c r="AA36" s="67">
        <v>4.20856648</v>
      </c>
      <c r="AB36" s="67">
        <v>3.1433504800000001</v>
      </c>
      <c r="AC36" s="67">
        <f t="shared" si="4"/>
        <v>-1.0652159999999999</v>
      </c>
    </row>
    <row r="37" spans="1:29" s="260" customFormat="1" ht="12.5" x14ac:dyDescent="0.25">
      <c r="A37" s="57">
        <v>33</v>
      </c>
      <c r="B37" s="57" t="s">
        <v>158</v>
      </c>
      <c r="C37" s="67">
        <v>22.491975599999993</v>
      </c>
      <c r="D37" s="67">
        <v>17.545427999999994</v>
      </c>
      <c r="E37" s="67">
        <f t="shared" si="8"/>
        <v>-4.9465475999999988</v>
      </c>
      <c r="F37" s="67">
        <v>733.21643200000017</v>
      </c>
      <c r="G37" s="67">
        <v>480.29495199999997</v>
      </c>
      <c r="H37" s="67">
        <f t="shared" si="0"/>
        <v>-252.9214800000002</v>
      </c>
      <c r="I37" s="67" t="s">
        <v>264</v>
      </c>
      <c r="J37" s="67" t="s">
        <v>264</v>
      </c>
      <c r="K37" s="67"/>
      <c r="L37" s="200">
        <v>7.8450551999999991</v>
      </c>
      <c r="M37" s="200">
        <v>2.5039943999999998</v>
      </c>
      <c r="N37" s="67">
        <f t="shared" si="1"/>
        <v>-5.3410607999999993</v>
      </c>
      <c r="O37" s="224"/>
      <c r="P37" s="57">
        <v>33</v>
      </c>
      <c r="Q37" s="57" t="s">
        <v>219</v>
      </c>
      <c r="R37" s="67">
        <v>17.126999999999999</v>
      </c>
      <c r="S37" s="67">
        <v>27.116</v>
      </c>
      <c r="T37" s="67">
        <f t="shared" si="2"/>
        <v>9.9890000000000008</v>
      </c>
      <c r="U37" s="67">
        <v>355.350752</v>
      </c>
      <c r="V37" s="67">
        <v>680.36346400000002</v>
      </c>
      <c r="W37" s="67">
        <f t="shared" si="3"/>
        <v>325.01271200000002</v>
      </c>
      <c r="X37" s="67">
        <v>37.308815000000017</v>
      </c>
      <c r="Y37" s="67">
        <v>31.165925000000009</v>
      </c>
      <c r="Z37" s="67">
        <f t="shared" si="5"/>
        <v>-6.1428900000000084</v>
      </c>
      <c r="AA37" s="67">
        <v>0.7849404000000002</v>
      </c>
      <c r="AB37" s="67">
        <v>11.2911588</v>
      </c>
      <c r="AC37" s="67">
        <f t="shared" si="4"/>
        <v>10.5062184</v>
      </c>
    </row>
    <row r="38" spans="1:29" s="260" customFormat="1" ht="12.5" x14ac:dyDescent="0.25">
      <c r="A38" s="57">
        <v>34</v>
      </c>
      <c r="B38" s="57" t="s">
        <v>175</v>
      </c>
      <c r="C38" s="67" t="s">
        <v>264</v>
      </c>
      <c r="D38" s="67" t="s">
        <v>264</v>
      </c>
      <c r="E38" s="67"/>
      <c r="F38" s="67">
        <f>2*601.881592</f>
        <v>1203.7631839999999</v>
      </c>
      <c r="G38" s="67">
        <v>397.48842400000001</v>
      </c>
      <c r="H38" s="67">
        <f t="shared" si="0"/>
        <v>-806.2747599999999</v>
      </c>
      <c r="I38" s="67" t="s">
        <v>264</v>
      </c>
      <c r="J38" s="67" t="s">
        <v>264</v>
      </c>
      <c r="K38" s="67"/>
      <c r="L38" s="200">
        <v>18.305965199999996</v>
      </c>
      <c r="M38" s="200">
        <v>3.3595236000000002</v>
      </c>
      <c r="N38" s="67">
        <f t="shared" si="1"/>
        <v>-14.946441599999996</v>
      </c>
      <c r="O38" s="224"/>
      <c r="P38" s="57">
        <v>34</v>
      </c>
      <c r="Q38" s="57" t="s">
        <v>220</v>
      </c>
      <c r="R38" s="67" t="s">
        <v>264</v>
      </c>
      <c r="S38" s="67" t="s">
        <v>264</v>
      </c>
      <c r="T38" s="67"/>
      <c r="U38" s="67">
        <v>430.287824</v>
      </c>
      <c r="V38" s="67">
        <v>442.22379999999998</v>
      </c>
      <c r="W38" s="67">
        <f t="shared" si="3"/>
        <v>11.935975999999982</v>
      </c>
      <c r="X38" s="67">
        <v>44.869295000000008</v>
      </c>
      <c r="Y38" s="67">
        <v>23.841710000000027</v>
      </c>
      <c r="Z38" s="67">
        <f t="shared" si="5"/>
        <v>-21.027584999999981</v>
      </c>
      <c r="AA38" s="67">
        <v>1.4405796</v>
      </c>
      <c r="AB38" s="67">
        <v>3.2235983999999993</v>
      </c>
      <c r="AC38" s="67">
        <f t="shared" si="4"/>
        <v>1.7830187999999993</v>
      </c>
    </row>
    <row r="39" spans="1:29" s="260" customFormat="1" ht="12.5" x14ac:dyDescent="0.25">
      <c r="A39" s="57">
        <v>35</v>
      </c>
      <c r="B39" s="57" t="s">
        <v>160</v>
      </c>
      <c r="C39" s="67">
        <v>37.024698000000001</v>
      </c>
      <c r="D39" s="67">
        <v>0</v>
      </c>
      <c r="E39" s="67">
        <f>D39-C39</f>
        <v>-37.024698000000001</v>
      </c>
      <c r="F39" s="67">
        <v>170.51487999999998</v>
      </c>
      <c r="G39" s="67">
        <v>640.12998399999992</v>
      </c>
      <c r="H39" s="67">
        <f t="shared" si="0"/>
        <v>469.61510399999997</v>
      </c>
      <c r="I39" s="67">
        <v>38.490140000000025</v>
      </c>
      <c r="J39" s="67">
        <v>35.891225000000013</v>
      </c>
      <c r="K39" s="67">
        <f>J39-I39</f>
        <v>-2.5989150000000123</v>
      </c>
      <c r="L39" s="200">
        <v>4.7375100000000003</v>
      </c>
      <c r="M39" s="200">
        <v>12.5171508</v>
      </c>
      <c r="N39" s="67">
        <f t="shared" si="1"/>
        <v>7.7796407999999992</v>
      </c>
      <c r="O39" s="224"/>
      <c r="P39" s="57">
        <v>35</v>
      </c>
      <c r="Q39" s="57" t="s">
        <v>221</v>
      </c>
      <c r="R39" s="67">
        <v>176.642</v>
      </c>
      <c r="S39" s="67">
        <v>132.55099999999999</v>
      </c>
      <c r="T39" s="67">
        <f t="shared" si="2"/>
        <v>-44.091000000000008</v>
      </c>
      <c r="U39" s="67">
        <v>356.34329600000001</v>
      </c>
      <c r="V39" s="67">
        <v>969.72548800000004</v>
      </c>
      <c r="W39" s="67">
        <f t="shared" si="3"/>
        <v>613.38219200000003</v>
      </c>
      <c r="X39" s="67">
        <v>39.198935000000006</v>
      </c>
      <c r="Y39" s="67">
        <v>81.25410500000001</v>
      </c>
      <c r="Z39" s="67">
        <f t="shared" si="5"/>
        <v>42.055170000000004</v>
      </c>
      <c r="AA39" s="67" t="s">
        <v>264</v>
      </c>
      <c r="AB39" s="67" t="s">
        <v>264</v>
      </c>
      <c r="AC39" s="67"/>
    </row>
    <row r="40" spans="1:29" s="260" customFormat="1" ht="12.5" x14ac:dyDescent="0.25">
      <c r="A40" s="57">
        <v>36</v>
      </c>
      <c r="B40" s="57" t="s">
        <v>161</v>
      </c>
      <c r="C40" s="67">
        <v>28.905728999999997</v>
      </c>
      <c r="D40" s="67">
        <v>140.57682300000002</v>
      </c>
      <c r="E40" s="67">
        <f>D40-C40</f>
        <v>111.67109400000002</v>
      </c>
      <c r="F40" s="67">
        <v>119.89513600000004</v>
      </c>
      <c r="G40" s="67">
        <v>132.37283200000002</v>
      </c>
      <c r="H40" s="67">
        <f t="shared" si="0"/>
        <v>12.47769599999998</v>
      </c>
      <c r="I40" s="67">
        <v>22.42412000000002</v>
      </c>
      <c r="J40" s="67">
        <v>22.42412000000002</v>
      </c>
      <c r="K40" s="67">
        <f>J40-I40</f>
        <v>0</v>
      </c>
      <c r="L40" s="200">
        <v>1.4459100000000003</v>
      </c>
      <c r="M40" s="200">
        <v>7.3626539999999991</v>
      </c>
      <c r="N40" s="67">
        <f t="shared" si="1"/>
        <v>5.9167439999999987</v>
      </c>
      <c r="O40" s="224"/>
      <c r="P40" s="57">
        <v>36</v>
      </c>
      <c r="Q40" s="57" t="s">
        <v>222</v>
      </c>
      <c r="R40" s="67">
        <v>65.570999999999998</v>
      </c>
      <c r="S40" s="67">
        <v>34.738</v>
      </c>
      <c r="T40" s="67">
        <f t="shared" si="2"/>
        <v>-30.832999999999998</v>
      </c>
      <c r="U40" s="67">
        <f>2*771.677512</f>
        <v>1543.355024</v>
      </c>
      <c r="V40" s="67">
        <f>2*377.602096</f>
        <v>755.20419200000003</v>
      </c>
      <c r="W40" s="67">
        <f t="shared" si="3"/>
        <v>-788.15083199999992</v>
      </c>
      <c r="X40" s="67">
        <v>37.781345000000002</v>
      </c>
      <c r="Y40" s="67">
        <v>0</v>
      </c>
      <c r="Z40" s="67">
        <f t="shared" si="5"/>
        <v>-37.781345000000002</v>
      </c>
      <c r="AA40" s="67">
        <v>13.455301199999999</v>
      </c>
      <c r="AB40" s="67">
        <v>2.898444</v>
      </c>
      <c r="AC40" s="67">
        <f t="shared" si="4"/>
        <v>-10.5568572</v>
      </c>
    </row>
    <row r="41" spans="1:29" s="260" customFormat="1" ht="12.5" x14ac:dyDescent="0.25">
      <c r="A41" s="57">
        <v>37</v>
      </c>
      <c r="B41" s="57" t="s">
        <v>162</v>
      </c>
      <c r="C41" s="67" t="s">
        <v>264</v>
      </c>
      <c r="D41" s="67" t="s">
        <v>264</v>
      </c>
      <c r="E41" s="67"/>
      <c r="F41" s="67">
        <v>204.15503199999998</v>
      </c>
      <c r="G41" s="67">
        <v>759.37705600000004</v>
      </c>
      <c r="H41" s="67">
        <f t="shared" si="0"/>
        <v>555.22202400000003</v>
      </c>
      <c r="I41" s="67">
        <v>30.693395000000024</v>
      </c>
      <c r="J41" s="67">
        <v>0</v>
      </c>
      <c r="K41" s="67">
        <f>J41-I41</f>
        <v>-30.693395000000024</v>
      </c>
      <c r="L41" s="200">
        <v>10.7154756</v>
      </c>
      <c r="M41" s="200">
        <v>17.980810799999997</v>
      </c>
      <c r="N41" s="67">
        <f t="shared" si="1"/>
        <v>7.2653351999999973</v>
      </c>
      <c r="O41" s="224"/>
      <c r="P41" s="57">
        <v>37</v>
      </c>
      <c r="Q41" s="57" t="s">
        <v>223</v>
      </c>
      <c r="R41" s="67" t="s">
        <v>264</v>
      </c>
      <c r="S41" s="67" t="s">
        <v>264</v>
      </c>
      <c r="T41" s="67"/>
      <c r="U41" s="67">
        <v>181.799128</v>
      </c>
      <c r="V41" s="67">
        <v>0</v>
      </c>
      <c r="W41" s="67">
        <f t="shared" si="3"/>
        <v>-181.799128</v>
      </c>
      <c r="X41" s="67">
        <v>145.46073000000001</v>
      </c>
      <c r="Y41" s="67">
        <v>0</v>
      </c>
      <c r="Z41" s="67">
        <f t="shared" si="5"/>
        <v>-145.46073000000001</v>
      </c>
      <c r="AA41" s="67">
        <v>5.4243719200000005</v>
      </c>
      <c r="AB41" s="67">
        <v>19.27007888</v>
      </c>
      <c r="AC41" s="67">
        <f t="shared" si="4"/>
        <v>13.845706959999999</v>
      </c>
    </row>
    <row r="42" spans="1:29" s="260" customFormat="1" ht="12.5" x14ac:dyDescent="0.25">
      <c r="A42" s="57">
        <v>38</v>
      </c>
      <c r="B42" s="57" t="s">
        <v>163</v>
      </c>
      <c r="C42" s="67">
        <v>51.316282800000003</v>
      </c>
      <c r="D42" s="67">
        <v>18.792633599999988</v>
      </c>
      <c r="E42" s="67">
        <f>D42-C42</f>
        <v>-32.523649200000015</v>
      </c>
      <c r="F42" s="67">
        <v>1656.2923519999999</v>
      </c>
      <c r="G42" s="67">
        <v>7.489528</v>
      </c>
      <c r="H42" s="67">
        <f t="shared" si="0"/>
        <v>-1648.8028239999999</v>
      </c>
      <c r="I42" s="67">
        <v>22.660385000000026</v>
      </c>
      <c r="J42" s="67">
        <v>0</v>
      </c>
      <c r="K42" s="67">
        <f>J42-I42</f>
        <v>-22.660385000000026</v>
      </c>
      <c r="L42" s="200">
        <v>4.6174980000000003</v>
      </c>
      <c r="M42" s="200">
        <v>1.2300287999999999</v>
      </c>
      <c r="N42" s="67">
        <f t="shared" si="1"/>
        <v>-3.3874692000000004</v>
      </c>
      <c r="O42" s="224"/>
      <c r="P42" s="57">
        <v>38</v>
      </c>
      <c r="Q42" s="57" t="s">
        <v>224</v>
      </c>
      <c r="R42" s="67" t="s">
        <v>264</v>
      </c>
      <c r="S42" s="67" t="s">
        <v>264</v>
      </c>
      <c r="T42" s="67"/>
      <c r="U42" s="67">
        <v>1093.2752539999999</v>
      </c>
      <c r="V42" s="67">
        <v>752.95472600000005</v>
      </c>
      <c r="W42" s="67">
        <f t="shared" si="3"/>
        <v>-340.32052799999985</v>
      </c>
      <c r="X42" s="67" t="s">
        <v>264</v>
      </c>
      <c r="Y42" s="67" t="s">
        <v>264</v>
      </c>
      <c r="Z42" s="67"/>
      <c r="AA42" s="67">
        <v>6.3238228000000003</v>
      </c>
      <c r="AB42" s="67">
        <v>10.938630560000002</v>
      </c>
      <c r="AC42" s="67">
        <f t="shared" si="4"/>
        <v>4.6148077600000015</v>
      </c>
    </row>
    <row r="43" spans="1:29" s="260" customFormat="1" ht="12.5" x14ac:dyDescent="0.25">
      <c r="A43" s="57">
        <v>39</v>
      </c>
      <c r="B43" s="57" t="s">
        <v>164</v>
      </c>
      <c r="C43" s="67" t="s">
        <v>264</v>
      </c>
      <c r="D43" s="67" t="s">
        <v>264</v>
      </c>
      <c r="E43" s="67"/>
      <c r="F43" s="67">
        <v>1127.9753599999999</v>
      </c>
      <c r="G43" s="67">
        <v>198.66059199999998</v>
      </c>
      <c r="H43" s="67">
        <f t="shared" si="0"/>
        <v>-929.31476799999996</v>
      </c>
      <c r="I43" s="67" t="s">
        <v>264</v>
      </c>
      <c r="J43" s="67" t="s">
        <v>264</v>
      </c>
      <c r="K43" s="67"/>
      <c r="L43" s="200">
        <v>30.347338799999999</v>
      </c>
      <c r="M43" s="200">
        <v>7.9063547999999999</v>
      </c>
      <c r="N43" s="67">
        <f t="shared" si="1"/>
        <v>-22.440984</v>
      </c>
      <c r="O43" s="224"/>
      <c r="P43" s="57">
        <v>39</v>
      </c>
      <c r="Q43" s="57" t="s">
        <v>225</v>
      </c>
      <c r="R43" s="67">
        <v>10.948736</v>
      </c>
      <c r="S43" s="67">
        <v>0</v>
      </c>
      <c r="T43" s="67">
        <f t="shared" si="2"/>
        <v>-10.948736</v>
      </c>
      <c r="U43" s="67">
        <v>720.75879099999986</v>
      </c>
      <c r="V43" s="67">
        <v>273.652399</v>
      </c>
      <c r="W43" s="67">
        <f t="shared" si="3"/>
        <v>-447.10639199999986</v>
      </c>
      <c r="X43" s="67" t="s">
        <v>264</v>
      </c>
      <c r="Y43" s="67" t="s">
        <v>264</v>
      </c>
      <c r="Z43" s="67"/>
      <c r="AA43" s="67">
        <v>5.7611552800000005</v>
      </c>
      <c r="AB43" s="67">
        <v>5.2901255200000001</v>
      </c>
      <c r="AC43" s="67">
        <f t="shared" si="4"/>
        <v>-0.47102976000000041</v>
      </c>
    </row>
    <row r="44" spans="1:29" s="260" customFormat="1" ht="12.5" x14ac:dyDescent="0.25">
      <c r="A44" s="57">
        <v>40</v>
      </c>
      <c r="B44" s="57" t="s">
        <v>165</v>
      </c>
      <c r="C44" s="67">
        <v>241.32582400000001</v>
      </c>
      <c r="D44" s="67">
        <v>304.73316799999998</v>
      </c>
      <c r="E44" s="67">
        <f>D44-C44</f>
        <v>63.407343999999966</v>
      </c>
      <c r="F44" s="67">
        <v>1229.7678679999997</v>
      </c>
      <c r="G44" s="67">
        <v>708.90951799999993</v>
      </c>
      <c r="H44" s="67">
        <f t="shared" si="0"/>
        <v>-520.85834999999975</v>
      </c>
      <c r="I44" s="67">
        <v>11.0343</v>
      </c>
      <c r="J44" s="67">
        <v>61.101510000000005</v>
      </c>
      <c r="K44" s="67">
        <f>J44-I44</f>
        <v>50.067210000000003</v>
      </c>
      <c r="L44" s="200">
        <v>6.5987360800000001</v>
      </c>
      <c r="M44" s="200">
        <v>6.244442320000001</v>
      </c>
      <c r="N44" s="67">
        <f t="shared" si="1"/>
        <v>-0.35429375999999912</v>
      </c>
      <c r="O44" s="224"/>
      <c r="P44" s="57">
        <v>40</v>
      </c>
      <c r="Q44" s="57" t="s">
        <v>226</v>
      </c>
      <c r="R44" s="67">
        <v>9.3826000000000001</v>
      </c>
      <c r="S44" s="67">
        <v>0</v>
      </c>
      <c r="T44" s="67">
        <f t="shared" si="2"/>
        <v>-9.3826000000000001</v>
      </c>
      <c r="U44" s="67">
        <v>398.06426800000003</v>
      </c>
      <c r="V44" s="67">
        <v>419.25508299999996</v>
      </c>
      <c r="W44" s="67">
        <f t="shared" si="3"/>
        <v>21.19081499999993</v>
      </c>
      <c r="X44" s="67">
        <v>86.313270000000003</v>
      </c>
      <c r="Y44" s="67">
        <v>13.804185</v>
      </c>
      <c r="Z44" s="67">
        <f t="shared" si="5"/>
        <v>-72.509084999999999</v>
      </c>
      <c r="AA44" s="67">
        <v>14.531764640000002</v>
      </c>
      <c r="AB44" s="67">
        <v>22.173770560000005</v>
      </c>
      <c r="AC44" s="67">
        <f t="shared" si="4"/>
        <v>7.6420059200000026</v>
      </c>
    </row>
    <row r="45" spans="1:29" s="260" customFormat="1" ht="12.5" x14ac:dyDescent="0.25">
      <c r="A45" s="57">
        <v>41</v>
      </c>
      <c r="B45" s="57" t="s">
        <v>166</v>
      </c>
      <c r="C45" s="67" t="s">
        <v>264</v>
      </c>
      <c r="D45" s="67" t="s">
        <v>264</v>
      </c>
      <c r="E45" s="67"/>
      <c r="F45" s="67">
        <v>102.11024</v>
      </c>
      <c r="G45" s="67">
        <v>116.927504</v>
      </c>
      <c r="H45" s="67">
        <f>G45-F45</f>
        <v>14.817263999999994</v>
      </c>
      <c r="I45" s="67">
        <v>55.501220000000018</v>
      </c>
      <c r="J45" s="67">
        <v>25.49556500000001</v>
      </c>
      <c r="K45" s="67">
        <f>J45-I45</f>
        <v>-30.005655000000008</v>
      </c>
      <c r="L45" s="200">
        <v>9.4654968000000004</v>
      </c>
      <c r="M45" s="280">
        <v>31.501370400000003</v>
      </c>
      <c r="N45" s="281">
        <f t="shared" si="1"/>
        <v>22.035873600000002</v>
      </c>
      <c r="O45" s="224"/>
      <c r="P45" s="57">
        <v>41</v>
      </c>
      <c r="Q45" s="57" t="s">
        <v>227</v>
      </c>
      <c r="R45" s="67">
        <v>154.01737600000001</v>
      </c>
      <c r="S45" s="67">
        <v>0</v>
      </c>
      <c r="T45" s="67">
        <f t="shared" si="2"/>
        <v>-154.01737600000001</v>
      </c>
      <c r="U45" s="67">
        <v>748.67695400000002</v>
      </c>
      <c r="V45" s="67">
        <v>0</v>
      </c>
      <c r="W45" s="67">
        <f t="shared" si="3"/>
        <v>-748.67695400000002</v>
      </c>
      <c r="X45" s="67">
        <v>77.939985000000036</v>
      </c>
      <c r="Y45" s="67">
        <v>0</v>
      </c>
      <c r="Z45" s="67">
        <f t="shared" si="5"/>
        <v>-77.939985000000036</v>
      </c>
      <c r="AA45" s="67">
        <v>9.0811271200000014</v>
      </c>
      <c r="AB45" s="67">
        <v>21.658497440000001</v>
      </c>
      <c r="AC45" s="67">
        <f t="shared" si="4"/>
        <v>12.57737032</v>
      </c>
    </row>
    <row r="46" spans="1:29" s="260" customFormat="1" ht="12.5" x14ac:dyDescent="0.25">
      <c r="A46" s="57">
        <v>42</v>
      </c>
      <c r="B46" s="57" t="s">
        <v>167</v>
      </c>
      <c r="C46" s="67">
        <v>11.890727999999999</v>
      </c>
      <c r="D46" s="67">
        <v>25.028661599999996</v>
      </c>
      <c r="E46" s="67">
        <f>D46-C46</f>
        <v>13.137933599999997</v>
      </c>
      <c r="F46" s="67">
        <v>1321.7341280000001</v>
      </c>
      <c r="G46" s="67">
        <v>627.44960000000003</v>
      </c>
      <c r="H46" s="67">
        <f t="shared" si="0"/>
        <v>-694.28452800000002</v>
      </c>
      <c r="I46" s="67">
        <v>16.753760000000021</v>
      </c>
      <c r="J46" s="67">
        <v>0</v>
      </c>
      <c r="K46" s="67">
        <f>J46-I46</f>
        <v>-16.753760000000021</v>
      </c>
      <c r="L46" s="276">
        <v>12.871622400000001</v>
      </c>
      <c r="M46" s="200">
        <v>7.7117951999999992</v>
      </c>
      <c r="N46" s="67">
        <f t="shared" si="1"/>
        <v>-5.1598272000000023</v>
      </c>
      <c r="O46" s="224"/>
      <c r="P46" s="57">
        <v>42</v>
      </c>
      <c r="Q46" s="57" t="s">
        <v>228</v>
      </c>
      <c r="R46" s="67">
        <v>791.68869600000005</v>
      </c>
      <c r="S46" s="67">
        <v>0</v>
      </c>
      <c r="T46" s="67">
        <f t="shared" si="2"/>
        <v>-791.68869600000005</v>
      </c>
      <c r="U46" s="67">
        <v>1840.2217759999999</v>
      </c>
      <c r="V46" s="67">
        <v>1032.4358299999999</v>
      </c>
      <c r="W46" s="67">
        <f t="shared" si="3"/>
        <v>-807.78594599999997</v>
      </c>
      <c r="X46" s="67">
        <v>216.487075</v>
      </c>
      <c r="Y46" s="67">
        <v>0</v>
      </c>
      <c r="Z46" s="67">
        <f t="shared" si="5"/>
        <v>-216.487075</v>
      </c>
      <c r="AA46" s="67">
        <v>12.778389920000004</v>
      </c>
      <c r="AB46" s="67">
        <v>11.923882399999998</v>
      </c>
      <c r="AC46" s="67">
        <f t="shared" si="4"/>
        <v>-0.85450752000000563</v>
      </c>
    </row>
    <row r="47" spans="1:29" s="260" customFormat="1" ht="12.5" x14ac:dyDescent="0.25">
      <c r="A47" s="57">
        <v>43</v>
      </c>
      <c r="B47" s="57" t="s">
        <v>169</v>
      </c>
      <c r="C47" s="67" t="s">
        <v>264</v>
      </c>
      <c r="D47" s="67" t="s">
        <v>264</v>
      </c>
      <c r="E47" s="67"/>
      <c r="F47" s="67">
        <v>532.97252199999991</v>
      </c>
      <c r="G47" s="67">
        <v>800.29366299999992</v>
      </c>
      <c r="H47" s="67">
        <f t="shared" si="0"/>
        <v>267.32114100000001</v>
      </c>
      <c r="I47" s="67" t="s">
        <v>264</v>
      </c>
      <c r="J47" s="67" t="s">
        <v>264</v>
      </c>
      <c r="K47" s="67"/>
      <c r="L47" s="276">
        <v>3.8058272800000004</v>
      </c>
      <c r="M47" s="200">
        <v>16.670368160000002</v>
      </c>
      <c r="N47" s="67">
        <f t="shared" si="1"/>
        <v>12.864540880000002</v>
      </c>
      <c r="O47" s="224"/>
      <c r="P47" s="57">
        <v>43</v>
      </c>
      <c r="Q47" s="57" t="s">
        <v>229</v>
      </c>
      <c r="R47" s="67">
        <v>38.758232</v>
      </c>
      <c r="S47" s="67">
        <v>23.520152</v>
      </c>
      <c r="T47" s="67">
        <f t="shared" si="2"/>
        <v>-15.23808</v>
      </c>
      <c r="U47" s="67">
        <v>871.15416399999992</v>
      </c>
      <c r="V47" s="67">
        <v>431.05856499999999</v>
      </c>
      <c r="W47" s="67">
        <f>V47-U47</f>
        <v>-440.09559899999994</v>
      </c>
      <c r="X47" s="67">
        <v>19.148835000000009</v>
      </c>
      <c r="Y47" s="67">
        <v>9.3503099999999968</v>
      </c>
      <c r="Z47" s="67">
        <f t="shared" si="5"/>
        <v>-9.7985250000000121</v>
      </c>
      <c r="AA47" s="67">
        <v>8.0124090400000014</v>
      </c>
      <c r="AB47" s="67">
        <v>15.696789920000002</v>
      </c>
      <c r="AC47" s="67">
        <f t="shared" si="4"/>
        <v>7.6843808800000009</v>
      </c>
    </row>
    <row r="48" spans="1:29" s="260" customFormat="1" ht="12.5" x14ac:dyDescent="0.25">
      <c r="A48" s="57">
        <v>44</v>
      </c>
      <c r="B48" s="57" t="s">
        <v>170</v>
      </c>
      <c r="C48" s="67" t="s">
        <v>264</v>
      </c>
      <c r="D48" s="67" t="s">
        <v>264</v>
      </c>
      <c r="E48" s="67"/>
      <c r="F48" s="67">
        <v>764.170255</v>
      </c>
      <c r="G48" s="67">
        <v>766.02569600000004</v>
      </c>
      <c r="H48" s="67">
        <f t="shared" si="0"/>
        <v>1.8554410000000416</v>
      </c>
      <c r="I48" s="67" t="s">
        <v>264</v>
      </c>
      <c r="J48" s="67" t="s">
        <v>264</v>
      </c>
      <c r="K48" s="67"/>
      <c r="L48" s="276">
        <v>2.1948704800000001</v>
      </c>
      <c r="M48" s="200">
        <v>5.8090170400000005</v>
      </c>
      <c r="N48" s="67">
        <f t="shared" si="1"/>
        <v>3.6141465600000005</v>
      </c>
      <c r="O48" s="224"/>
      <c r="P48" s="57">
        <v>44</v>
      </c>
      <c r="Q48" s="57" t="s">
        <v>230</v>
      </c>
      <c r="R48" s="67" t="s">
        <v>264</v>
      </c>
      <c r="S48" s="67" t="s">
        <v>264</v>
      </c>
      <c r="T48" s="67"/>
      <c r="U48" s="67">
        <v>337.93780599999997</v>
      </c>
      <c r="V48" s="67">
        <v>366.971203</v>
      </c>
      <c r="W48" s="67">
        <f t="shared" si="3"/>
        <v>29.033397000000036</v>
      </c>
      <c r="X48" s="67" t="s">
        <v>264</v>
      </c>
      <c r="Y48" s="67" t="s">
        <v>264</v>
      </c>
      <c r="Z48" s="67"/>
      <c r="AA48" s="67">
        <v>5.5463610400000007</v>
      </c>
      <c r="AB48" s="67">
        <v>14.378840480000003</v>
      </c>
      <c r="AC48" s="67">
        <f t="shared" si="4"/>
        <v>8.832479440000002</v>
      </c>
    </row>
    <row r="49" spans="1:29" s="260" customFormat="1" ht="12.5" x14ac:dyDescent="0.25">
      <c r="A49" s="57">
        <v>45</v>
      </c>
      <c r="B49" s="57" t="s">
        <v>171</v>
      </c>
      <c r="C49" s="67" t="s">
        <v>264</v>
      </c>
      <c r="D49" s="67" t="s">
        <v>264</v>
      </c>
      <c r="E49" s="67"/>
      <c r="F49" s="67">
        <v>680.15956599999981</v>
      </c>
      <c r="G49" s="67">
        <v>444.32758000000007</v>
      </c>
      <c r="H49" s="67">
        <f t="shared" si="0"/>
        <v>-235.83198599999974</v>
      </c>
      <c r="I49" s="67" t="s">
        <v>264</v>
      </c>
      <c r="J49" s="67" t="s">
        <v>264</v>
      </c>
      <c r="K49" s="67"/>
      <c r="L49" s="276">
        <v>7.4047981600000012</v>
      </c>
      <c r="M49" s="200">
        <v>11.17793936</v>
      </c>
      <c r="N49" s="67">
        <f t="shared" si="1"/>
        <v>3.7731411999999986</v>
      </c>
      <c r="O49" s="224"/>
      <c r="P49" s="57">
        <v>45</v>
      </c>
      <c r="Q49" s="57" t="s">
        <v>231</v>
      </c>
      <c r="R49" s="67">
        <v>77.784648000000004</v>
      </c>
      <c r="S49" s="67">
        <v>13.488416000000001</v>
      </c>
      <c r="T49" s="67">
        <f t="shared" si="2"/>
        <v>-64.296232000000003</v>
      </c>
      <c r="U49" s="67">
        <v>1299.327454</v>
      </c>
      <c r="V49" s="67">
        <v>1148.7340360000001</v>
      </c>
      <c r="W49" s="67">
        <f t="shared" si="3"/>
        <v>-150.59341799999993</v>
      </c>
      <c r="X49" s="67">
        <v>45.872084999999998</v>
      </c>
      <c r="Y49" s="67">
        <v>0</v>
      </c>
      <c r="Z49" s="67">
        <f t="shared" si="5"/>
        <v>-45.872084999999998</v>
      </c>
      <c r="AA49" s="67">
        <v>5.4360455200000004</v>
      </c>
      <c r="AB49" s="67">
        <v>12.386156960000003</v>
      </c>
      <c r="AC49" s="67">
        <f t="shared" si="4"/>
        <v>6.9501114400000024</v>
      </c>
    </row>
    <row r="50" spans="1:29" s="260" customFormat="1" ht="12.5" x14ac:dyDescent="0.25">
      <c r="A50" s="57">
        <v>46</v>
      </c>
      <c r="B50" s="57" t="s">
        <v>172</v>
      </c>
      <c r="C50" s="67">
        <v>127.378848</v>
      </c>
      <c r="D50" s="67">
        <v>0</v>
      </c>
      <c r="E50" s="67">
        <f>D50-C50</f>
        <v>-127.378848</v>
      </c>
      <c r="F50" s="67" t="s">
        <v>264</v>
      </c>
      <c r="G50" s="67" t="s">
        <v>264</v>
      </c>
      <c r="H50" s="67"/>
      <c r="I50" s="67">
        <v>98.870369999999994</v>
      </c>
      <c r="J50" s="67">
        <v>4.8045299999999944</v>
      </c>
      <c r="K50" s="67">
        <f>J50-I50</f>
        <v>-94.065839999999994</v>
      </c>
      <c r="L50" s="276">
        <v>6.7335661599999996</v>
      </c>
      <c r="M50" s="200">
        <v>1.4203271200000001</v>
      </c>
      <c r="N50" s="67">
        <f t="shared" si="1"/>
        <v>-5.3132390399999991</v>
      </c>
      <c r="O50" s="224"/>
      <c r="P50" s="57">
        <v>46</v>
      </c>
      <c r="Q50" s="57" t="s">
        <v>232</v>
      </c>
      <c r="R50" s="67" t="s">
        <v>264</v>
      </c>
      <c r="S50" s="67" t="s">
        <v>264</v>
      </c>
      <c r="T50" s="67"/>
      <c r="U50" s="67">
        <v>603.70801399999993</v>
      </c>
      <c r="V50" s="67">
        <v>2261.7407539999999</v>
      </c>
      <c r="W50" s="67">
        <f t="shared" si="3"/>
        <v>1658.0327400000001</v>
      </c>
      <c r="X50" s="67" t="s">
        <v>264</v>
      </c>
      <c r="Y50" s="67" t="s">
        <v>264</v>
      </c>
      <c r="Z50" s="67"/>
      <c r="AA50" s="67">
        <v>3.0593005599999996</v>
      </c>
      <c r="AB50" s="67">
        <v>17.311248800000001</v>
      </c>
      <c r="AC50" s="67">
        <f t="shared" si="4"/>
        <v>14.251948240000001</v>
      </c>
    </row>
    <row r="51" spans="1:29" s="260" customFormat="1" ht="12.5" x14ac:dyDescent="0.25">
      <c r="A51" s="57">
        <v>47</v>
      </c>
      <c r="B51" s="57" t="s">
        <v>176</v>
      </c>
      <c r="C51" s="67">
        <v>265.36812800000001</v>
      </c>
      <c r="D51" s="67">
        <v>211.35759999999999</v>
      </c>
      <c r="E51" s="67">
        <f>D51-C51</f>
        <v>-54.010528000000022</v>
      </c>
      <c r="F51" s="67">
        <v>547.06714399999998</v>
      </c>
      <c r="G51" s="67">
        <v>598.71727999999996</v>
      </c>
      <c r="H51" s="67">
        <f t="shared" si="0"/>
        <v>51.650135999999975</v>
      </c>
      <c r="I51" s="67">
        <v>280.212176</v>
      </c>
      <c r="J51" s="67">
        <v>0</v>
      </c>
      <c r="K51" s="67">
        <f>J51-I51</f>
        <v>-280.212176</v>
      </c>
      <c r="L51" s="276">
        <v>1.42149448</v>
      </c>
      <c r="M51" s="200">
        <v>9.3478688800000018</v>
      </c>
      <c r="N51" s="67">
        <f t="shared" si="1"/>
        <v>7.926374400000002</v>
      </c>
      <c r="O51" s="224"/>
      <c r="P51" s="57">
        <v>47</v>
      </c>
      <c r="Q51" s="57" t="s">
        <v>233</v>
      </c>
      <c r="R51" s="67">
        <v>82.525384000000003</v>
      </c>
      <c r="S51" s="67">
        <v>0</v>
      </c>
      <c r="T51" s="67">
        <f t="shared" si="2"/>
        <v>-82.525384000000003</v>
      </c>
      <c r="U51" s="67">
        <v>689.11119999999994</v>
      </c>
      <c r="V51" s="67">
        <v>117.43450300000002</v>
      </c>
      <c r="W51" s="67">
        <f t="shared" si="3"/>
        <v>-571.67669699999988</v>
      </c>
      <c r="X51" s="67">
        <v>69.923009999999977</v>
      </c>
      <c r="Y51" s="67">
        <v>0</v>
      </c>
      <c r="Z51" s="67">
        <f t="shared" si="5"/>
        <v>-69.923009999999977</v>
      </c>
      <c r="AA51" s="67">
        <v>4.5126637600000006</v>
      </c>
      <c r="AB51" s="67">
        <v>4.4105197600000006</v>
      </c>
      <c r="AC51" s="67">
        <f t="shared" si="4"/>
        <v>-0.10214400000000001</v>
      </c>
    </row>
    <row r="52" spans="1:29" s="260" customFormat="1" ht="12.5" x14ac:dyDescent="0.25">
      <c r="A52" s="57">
        <v>48</v>
      </c>
      <c r="B52" s="57" t="s">
        <v>179</v>
      </c>
      <c r="C52" s="67">
        <v>427.58323999999999</v>
      </c>
      <c r="D52" s="67">
        <v>814.08020799999986</v>
      </c>
      <c r="E52" s="67">
        <f>D52-C52</f>
        <v>386.49696799999987</v>
      </c>
      <c r="F52" s="67">
        <v>592.58406699999989</v>
      </c>
      <c r="G52" s="67">
        <v>1226.5657209999999</v>
      </c>
      <c r="H52" s="67">
        <f t="shared" si="0"/>
        <v>633.98165400000005</v>
      </c>
      <c r="I52" s="67">
        <v>223.62515200000004</v>
      </c>
      <c r="J52" s="67">
        <v>107.943172</v>
      </c>
      <c r="K52" s="67">
        <f>J52-I52</f>
        <v>-115.68198000000004</v>
      </c>
      <c r="L52" s="276">
        <v>7.9645472800000006</v>
      </c>
      <c r="M52" s="200">
        <v>11.87368592</v>
      </c>
      <c r="N52" s="67">
        <f t="shared" si="1"/>
        <v>3.9091386399999992</v>
      </c>
      <c r="O52" s="224"/>
      <c r="P52" s="57">
        <v>48</v>
      </c>
      <c r="Q52" s="57" t="s">
        <v>234</v>
      </c>
      <c r="R52" s="67">
        <v>44.345528000000002</v>
      </c>
      <c r="S52" s="67">
        <v>0</v>
      </c>
      <c r="T52" s="67">
        <f t="shared" si="2"/>
        <v>-44.345528000000002</v>
      </c>
      <c r="U52" s="67">
        <v>555.62886999999989</v>
      </c>
      <c r="V52" s="67">
        <v>770.86417599999982</v>
      </c>
      <c r="W52" s="67">
        <f t="shared" si="3"/>
        <v>215.23530599999992</v>
      </c>
      <c r="X52" s="67" t="s">
        <v>264</v>
      </c>
      <c r="Y52" s="67" t="s">
        <v>264</v>
      </c>
      <c r="Z52" s="67"/>
      <c r="AA52" s="67">
        <v>0.38254408000000001</v>
      </c>
      <c r="AB52" s="67">
        <v>3.7019322400000005</v>
      </c>
      <c r="AC52" s="67">
        <f t="shared" si="4"/>
        <v>3.3193881600000004</v>
      </c>
    </row>
    <row r="53" spans="1:29" s="260" customFormat="1" ht="12.5" x14ac:dyDescent="0.25">
      <c r="A53" s="57">
        <v>49</v>
      </c>
      <c r="B53" s="57" t="s">
        <v>177</v>
      </c>
      <c r="C53" s="67" t="s">
        <v>264</v>
      </c>
      <c r="D53" s="67" t="s">
        <v>264</v>
      </c>
      <c r="E53" s="67"/>
      <c r="F53" s="67">
        <v>454.30904800000002</v>
      </c>
      <c r="G53" s="67">
        <v>514.23746499999993</v>
      </c>
      <c r="H53" s="67">
        <f t="shared" si="0"/>
        <v>59.928416999999911</v>
      </c>
      <c r="I53" s="67">
        <v>46.941015</v>
      </c>
      <c r="J53" s="67">
        <v>0</v>
      </c>
      <c r="K53" s="67">
        <f>J53-I53</f>
        <v>-46.941015</v>
      </c>
      <c r="L53" s="276">
        <v>17.739669920000001</v>
      </c>
      <c r="M53" s="200">
        <v>21.356151200000003</v>
      </c>
      <c r="N53" s="67">
        <f t="shared" si="1"/>
        <v>3.6164812800000021</v>
      </c>
      <c r="O53" s="224"/>
      <c r="P53" s="57">
        <v>49</v>
      </c>
      <c r="Q53" s="57" t="s">
        <v>235</v>
      </c>
      <c r="R53" s="67" t="s">
        <v>264</v>
      </c>
      <c r="S53" s="67" t="s">
        <v>264</v>
      </c>
      <c r="T53" s="67"/>
      <c r="U53" s="67">
        <v>792.60951699999987</v>
      </c>
      <c r="V53" s="67">
        <v>771.8147919999999</v>
      </c>
      <c r="W53" s="67">
        <f t="shared" si="3"/>
        <v>-20.794724999999971</v>
      </c>
      <c r="X53" s="67" t="s">
        <v>264</v>
      </c>
      <c r="Y53" s="67" t="s">
        <v>264</v>
      </c>
      <c r="Z53" s="67"/>
      <c r="AA53" s="67">
        <v>11.620368800000001</v>
      </c>
      <c r="AB53" s="67">
        <v>13.571027360000002</v>
      </c>
      <c r="AC53" s="67">
        <f t="shared" si="4"/>
        <v>1.9506585600000008</v>
      </c>
    </row>
    <row r="54" spans="1:29" s="260" customFormat="1" ht="12.5" x14ac:dyDescent="0.25">
      <c r="A54" s="57">
        <v>50</v>
      </c>
      <c r="B54" s="57" t="s">
        <v>178</v>
      </c>
      <c r="C54" s="67">
        <v>47.774096</v>
      </c>
      <c r="D54" s="67">
        <v>0</v>
      </c>
      <c r="E54" s="67">
        <f>D54-C54</f>
        <v>-47.774096</v>
      </c>
      <c r="F54" s="67">
        <v>1858.4419159999995</v>
      </c>
      <c r="G54" s="67">
        <v>1852.8174379999998</v>
      </c>
      <c r="H54" s="67">
        <f t="shared" si="0"/>
        <v>-5.6244779999997263</v>
      </c>
      <c r="I54" s="67">
        <v>26.275034999999974</v>
      </c>
      <c r="J54" s="67">
        <v>0</v>
      </c>
      <c r="K54" s="67">
        <f>J54-I54</f>
        <v>-26.275034999999974</v>
      </c>
      <c r="L54" s="276">
        <v>7.3551853600000019</v>
      </c>
      <c r="M54" s="200">
        <v>3.9622535200000009</v>
      </c>
      <c r="N54" s="67">
        <f t="shared" si="1"/>
        <v>-3.392931840000001</v>
      </c>
      <c r="O54" s="224"/>
      <c r="P54" s="57">
        <v>50</v>
      </c>
      <c r="Q54" s="57" t="s">
        <v>236</v>
      </c>
      <c r="R54" s="67" t="s">
        <v>264</v>
      </c>
      <c r="S54" s="67" t="s">
        <v>264</v>
      </c>
      <c r="T54" s="67"/>
      <c r="V54" s="67"/>
      <c r="W54" s="67"/>
      <c r="X54" s="67" t="s">
        <v>264</v>
      </c>
      <c r="Y54" s="67" t="s">
        <v>264</v>
      </c>
      <c r="Z54" s="67"/>
      <c r="AA54" s="67"/>
      <c r="AB54" s="67"/>
      <c r="AC54" s="67"/>
    </row>
    <row r="55" spans="1:29" s="260" customFormat="1" ht="12.5" x14ac:dyDescent="0.25">
      <c r="A55" s="226"/>
      <c r="B55" s="226"/>
      <c r="C55" s="263"/>
      <c r="D55" s="263"/>
      <c r="E55" s="263"/>
      <c r="F55" s="263"/>
      <c r="G55" s="263"/>
      <c r="H55" s="263"/>
      <c r="I55" s="263"/>
      <c r="J55" s="263"/>
      <c r="K55" s="263"/>
      <c r="L55" s="277"/>
      <c r="M55" s="67"/>
      <c r="N55" s="67"/>
      <c r="O55" s="224"/>
      <c r="P55" s="57">
        <v>51</v>
      </c>
      <c r="Q55" s="57" t="s">
        <v>237</v>
      </c>
      <c r="R55" s="67">
        <v>83.625912</v>
      </c>
      <c r="S55" s="67">
        <v>0</v>
      </c>
      <c r="T55" s="67">
        <f t="shared" si="2"/>
        <v>-83.625912</v>
      </c>
      <c r="U55" s="67">
        <v>74.181474999999992</v>
      </c>
      <c r="V55" s="67">
        <v>0</v>
      </c>
      <c r="W55" s="67">
        <f t="shared" si="3"/>
        <v>-74.181474999999992</v>
      </c>
      <c r="X55" s="67">
        <v>82.037549999999996</v>
      </c>
      <c r="Y55" s="67">
        <v>0</v>
      </c>
      <c r="Z55" s="67">
        <f t="shared" si="5"/>
        <v>-82.037549999999996</v>
      </c>
      <c r="AA55" s="67">
        <v>1.5551571999999998</v>
      </c>
      <c r="AB55" s="67">
        <v>0.34577223999999995</v>
      </c>
      <c r="AC55" s="67">
        <f t="shared" si="4"/>
        <v>-1.20938496</v>
      </c>
    </row>
    <row r="56" spans="1:29" s="61" customFormat="1" ht="15.5" customHeight="1" x14ac:dyDescent="0.3">
      <c r="A56" s="551" t="s">
        <v>7</v>
      </c>
      <c r="B56" s="552"/>
      <c r="C56" s="270">
        <f>MEDIAN(C5:C55)</f>
        <v>54.254028000000005</v>
      </c>
      <c r="D56" s="270">
        <f t="shared" ref="D56:M56" si="9">MEDIAN(D5:D55)</f>
        <v>15.605330399999993</v>
      </c>
      <c r="E56" s="270"/>
      <c r="F56" s="270">
        <f t="shared" si="9"/>
        <v>547.06714399999998</v>
      </c>
      <c r="G56" s="270">
        <f t="shared" si="9"/>
        <v>480.29495199999997</v>
      </c>
      <c r="H56" s="270"/>
      <c r="I56" s="270">
        <f t="shared" si="9"/>
        <v>48.767667500000002</v>
      </c>
      <c r="J56" s="270">
        <f t="shared" si="9"/>
        <v>2.4022649999999972</v>
      </c>
      <c r="K56" s="270"/>
      <c r="L56" s="278">
        <f t="shared" si="9"/>
        <v>6.2987147799999992</v>
      </c>
      <c r="M56" s="270">
        <f t="shared" si="9"/>
        <v>7.1707595999999993</v>
      </c>
      <c r="N56" s="270"/>
      <c r="O56" s="249"/>
      <c r="P56" s="553" t="s">
        <v>7</v>
      </c>
      <c r="Q56" s="553"/>
      <c r="R56" s="264">
        <f t="shared" ref="R56:AB56" si="10">MEDIAN(R5:R55)</f>
        <v>63.730999999999995</v>
      </c>
      <c r="S56" s="264">
        <f t="shared" si="10"/>
        <v>13.837208</v>
      </c>
      <c r="T56" s="264"/>
      <c r="U56" s="271">
        <f t="shared" si="10"/>
        <v>655.102081</v>
      </c>
      <c r="V56" s="271">
        <f t="shared" si="10"/>
        <v>452.62711749999994</v>
      </c>
      <c r="W56" s="264"/>
      <c r="X56" s="264">
        <f t="shared" si="10"/>
        <v>47.940740000000005</v>
      </c>
      <c r="Y56" s="264">
        <f t="shared" si="10"/>
        <v>0</v>
      </c>
      <c r="Z56" s="264"/>
      <c r="AA56" s="264">
        <f t="shared" si="10"/>
        <v>6.6540092</v>
      </c>
      <c r="AB56" s="265">
        <f t="shared" si="10"/>
        <v>11.114894680000001</v>
      </c>
      <c r="AC56" s="264"/>
    </row>
    <row r="57" spans="1:29" s="61" customFormat="1" ht="15.5" customHeight="1" x14ac:dyDescent="0.3">
      <c r="A57" s="553" t="s">
        <v>466</v>
      </c>
      <c r="B57" s="553"/>
      <c r="C57" s="562">
        <f>C56/D56</f>
        <v>3.4766343684719443</v>
      </c>
      <c r="D57" s="562"/>
      <c r="E57" s="271"/>
      <c r="F57" s="562">
        <f>F56/G56</f>
        <v>1.1390233058289565</v>
      </c>
      <c r="G57" s="562"/>
      <c r="H57" s="271"/>
      <c r="I57" s="272"/>
      <c r="J57" s="272"/>
      <c r="K57" s="272"/>
      <c r="L57" s="279">
        <f>M56/L56</f>
        <v>1.1384480565414647</v>
      </c>
      <c r="M57" s="282"/>
      <c r="N57" s="283"/>
      <c r="O57" s="273"/>
      <c r="P57" s="553" t="s">
        <v>466</v>
      </c>
      <c r="Q57" s="553"/>
      <c r="R57" s="562">
        <f>R56/S56</f>
        <v>4.6057701813834111</v>
      </c>
      <c r="S57" s="562"/>
      <c r="T57" s="271"/>
      <c r="U57" s="562">
        <f>1.5</f>
        <v>1.5</v>
      </c>
      <c r="V57" s="562"/>
      <c r="W57" s="265"/>
      <c r="X57" s="562" t="s">
        <v>781</v>
      </c>
      <c r="Y57" s="562"/>
      <c r="Z57" s="271"/>
      <c r="AA57" s="271">
        <f>AB56/AA56</f>
        <v>1.6704056676086352</v>
      </c>
      <c r="AB57" s="274"/>
      <c r="AC57" s="275"/>
    </row>
    <row r="58" spans="1:29" s="28" customFormat="1" ht="15.5" customHeight="1" x14ac:dyDescent="0.3">
      <c r="A58" s="224"/>
      <c r="N58" s="27"/>
      <c r="P58" s="224"/>
    </row>
    <row r="59" spans="1:29" ht="14.5" customHeight="1" x14ac:dyDescent="0.3">
      <c r="A59" s="566" t="s">
        <v>60</v>
      </c>
      <c r="B59" s="566"/>
      <c r="C59" s="566"/>
      <c r="D59" s="566"/>
      <c r="E59" s="566"/>
      <c r="F59" s="566"/>
      <c r="G59" s="566"/>
      <c r="H59" s="566"/>
      <c r="I59" s="566"/>
      <c r="J59" s="566"/>
      <c r="K59" s="566"/>
      <c r="L59" s="566"/>
      <c r="M59" s="566"/>
      <c r="N59" s="566"/>
      <c r="O59" s="566"/>
      <c r="P59" s="566"/>
      <c r="Q59" s="566"/>
      <c r="R59" s="566"/>
      <c r="S59" s="566"/>
      <c r="T59" s="566"/>
      <c r="U59" s="566"/>
      <c r="V59" s="566"/>
      <c r="W59" s="566"/>
      <c r="X59" s="566"/>
      <c r="Y59" s="566"/>
      <c r="Z59" s="204"/>
    </row>
    <row r="60" spans="1:29" ht="14" customHeight="1" x14ac:dyDescent="0.3">
      <c r="A60" s="566"/>
      <c r="B60" s="566"/>
      <c r="C60" s="566"/>
      <c r="D60" s="566"/>
      <c r="E60" s="566"/>
      <c r="F60" s="566"/>
      <c r="G60" s="566"/>
      <c r="H60" s="566"/>
      <c r="I60" s="566"/>
      <c r="J60" s="566"/>
      <c r="K60" s="566"/>
      <c r="L60" s="566"/>
      <c r="M60" s="566"/>
      <c r="N60" s="566"/>
      <c r="O60" s="566"/>
      <c r="P60" s="566"/>
      <c r="Q60" s="566"/>
      <c r="R60" s="566"/>
      <c r="S60" s="566"/>
      <c r="T60" s="566"/>
      <c r="U60" s="566"/>
      <c r="V60" s="566"/>
      <c r="W60" s="566"/>
      <c r="X60" s="566"/>
      <c r="Y60" s="566"/>
      <c r="Z60" s="204"/>
    </row>
    <row r="61" spans="1:29" ht="14" customHeight="1" x14ac:dyDescent="0.3">
      <c r="A61" s="566"/>
      <c r="B61" s="566"/>
      <c r="C61" s="566"/>
      <c r="D61" s="566"/>
      <c r="E61" s="566"/>
      <c r="F61" s="566"/>
      <c r="G61" s="566"/>
      <c r="H61" s="566"/>
      <c r="I61" s="566"/>
      <c r="J61" s="566"/>
      <c r="K61" s="566"/>
      <c r="L61" s="566"/>
      <c r="M61" s="566"/>
      <c r="N61" s="566"/>
      <c r="O61" s="566"/>
      <c r="P61" s="566"/>
      <c r="Q61" s="566"/>
      <c r="R61" s="566"/>
      <c r="S61" s="566"/>
      <c r="T61" s="566"/>
      <c r="U61" s="566"/>
      <c r="V61" s="566"/>
      <c r="W61" s="566"/>
      <c r="X61" s="566"/>
      <c r="Y61" s="566"/>
      <c r="Z61" s="204"/>
    </row>
    <row r="62" spans="1:29" x14ac:dyDescent="0.3">
      <c r="E62" s="266"/>
      <c r="F62" s="266"/>
      <c r="G62" s="266"/>
      <c r="H62" s="266"/>
      <c r="I62" s="266"/>
      <c r="J62" s="266"/>
      <c r="K62" s="266"/>
      <c r="L62" s="266"/>
      <c r="M62" s="266"/>
      <c r="N62" s="266"/>
    </row>
    <row r="63" spans="1:29" x14ac:dyDescent="0.3">
      <c r="E63" s="266"/>
      <c r="F63" s="266"/>
      <c r="G63" s="266"/>
      <c r="H63" s="266"/>
      <c r="I63" s="267"/>
      <c r="J63" s="550"/>
      <c r="K63" s="550"/>
      <c r="L63" s="550"/>
      <c r="M63" s="550"/>
      <c r="N63" s="266"/>
    </row>
    <row r="64" spans="1:29" x14ac:dyDescent="0.3">
      <c r="E64" s="267"/>
      <c r="F64" s="267"/>
      <c r="G64" s="266"/>
      <c r="H64" s="266"/>
      <c r="I64" s="268"/>
      <c r="J64" s="268"/>
      <c r="K64" s="268"/>
      <c r="L64" s="268"/>
      <c r="M64" s="268"/>
      <c r="N64" s="266"/>
    </row>
    <row r="65" spans="5:14" x14ac:dyDescent="0.3">
      <c r="E65" s="267"/>
      <c r="F65" s="267"/>
      <c r="G65" s="266"/>
      <c r="H65" s="266"/>
      <c r="I65" s="269"/>
      <c r="J65" s="267"/>
      <c r="K65" s="267"/>
      <c r="L65" s="267"/>
      <c r="M65" s="267"/>
      <c r="N65" s="266"/>
    </row>
    <row r="66" spans="5:14" x14ac:dyDescent="0.3">
      <c r="E66" s="267"/>
      <c r="F66" s="267"/>
      <c r="G66" s="266"/>
      <c r="H66" s="266"/>
      <c r="I66" s="269"/>
      <c r="J66" s="267"/>
      <c r="K66" s="267"/>
      <c r="L66" s="267"/>
      <c r="M66" s="267"/>
      <c r="N66" s="266"/>
    </row>
    <row r="67" spans="5:14" x14ac:dyDescent="0.3">
      <c r="E67" s="267"/>
      <c r="F67" s="267"/>
      <c r="G67" s="266"/>
      <c r="H67" s="266"/>
      <c r="I67" s="269"/>
      <c r="J67" s="267"/>
      <c r="K67" s="267"/>
      <c r="L67" s="267"/>
      <c r="M67" s="267"/>
      <c r="N67" s="266"/>
    </row>
    <row r="68" spans="5:14" x14ac:dyDescent="0.3">
      <c r="E68" s="267"/>
      <c r="F68" s="267"/>
      <c r="G68" s="266"/>
      <c r="H68" s="266"/>
      <c r="I68" s="269"/>
      <c r="J68" s="267"/>
      <c r="K68" s="267"/>
      <c r="L68" s="267"/>
      <c r="M68" s="267"/>
      <c r="N68" s="266"/>
    </row>
    <row r="69" spans="5:14" x14ac:dyDescent="0.3">
      <c r="E69" s="267"/>
      <c r="F69" s="267"/>
      <c r="G69" s="266"/>
      <c r="H69" s="266"/>
      <c r="I69" s="269"/>
      <c r="J69" s="267"/>
      <c r="K69" s="267"/>
      <c r="L69" s="267"/>
      <c r="M69" s="267"/>
      <c r="N69" s="266"/>
    </row>
    <row r="70" spans="5:14" x14ac:dyDescent="0.3">
      <c r="E70" s="267"/>
      <c r="F70" s="267"/>
      <c r="G70" s="266"/>
      <c r="H70" s="266"/>
      <c r="I70" s="269"/>
      <c r="J70" s="267"/>
      <c r="K70" s="267"/>
      <c r="L70" s="267"/>
      <c r="M70" s="267"/>
      <c r="N70" s="266"/>
    </row>
    <row r="71" spans="5:14" x14ac:dyDescent="0.3">
      <c r="E71" s="267"/>
      <c r="F71" s="267"/>
      <c r="G71" s="266"/>
      <c r="H71" s="266"/>
      <c r="I71" s="269"/>
      <c r="J71" s="267"/>
      <c r="K71" s="267"/>
      <c r="L71" s="267"/>
      <c r="M71" s="267"/>
      <c r="N71" s="266"/>
    </row>
    <row r="72" spans="5:14" x14ac:dyDescent="0.3">
      <c r="E72" s="267"/>
      <c r="F72" s="267"/>
      <c r="G72" s="266"/>
      <c r="H72" s="266"/>
      <c r="I72" s="269"/>
      <c r="J72" s="267"/>
      <c r="K72" s="267"/>
      <c r="L72" s="267"/>
      <c r="M72" s="267"/>
      <c r="N72" s="266"/>
    </row>
    <row r="73" spans="5:14" x14ac:dyDescent="0.3">
      <c r="E73" s="267"/>
      <c r="F73" s="267"/>
      <c r="G73" s="266"/>
      <c r="H73" s="266"/>
      <c r="I73" s="269"/>
      <c r="J73" s="267"/>
      <c r="K73" s="267"/>
      <c r="L73" s="267"/>
      <c r="M73" s="267"/>
      <c r="N73" s="266"/>
    </row>
    <row r="74" spans="5:14" x14ac:dyDescent="0.3">
      <c r="E74" s="267"/>
      <c r="F74" s="267"/>
      <c r="G74" s="266"/>
      <c r="H74" s="266"/>
      <c r="I74" s="269"/>
      <c r="J74" s="267"/>
      <c r="K74" s="267"/>
      <c r="L74" s="267"/>
      <c r="M74" s="267"/>
      <c r="N74" s="266"/>
    </row>
    <row r="75" spans="5:14" x14ac:dyDescent="0.3">
      <c r="E75" s="267"/>
      <c r="F75" s="267"/>
      <c r="G75" s="266"/>
      <c r="H75" s="266"/>
      <c r="I75" s="269"/>
      <c r="J75" s="267"/>
      <c r="K75" s="267"/>
      <c r="L75" s="267"/>
      <c r="M75" s="267"/>
      <c r="N75" s="266"/>
    </row>
    <row r="76" spans="5:14" x14ac:dyDescent="0.3">
      <c r="E76" s="267"/>
      <c r="F76" s="267"/>
      <c r="G76" s="266"/>
      <c r="H76" s="266"/>
      <c r="I76" s="269"/>
      <c r="J76" s="267"/>
      <c r="K76" s="267"/>
      <c r="L76" s="267"/>
      <c r="M76" s="267"/>
      <c r="N76" s="266"/>
    </row>
    <row r="77" spans="5:14" x14ac:dyDescent="0.3">
      <c r="E77" s="267"/>
      <c r="F77" s="267"/>
      <c r="G77" s="266"/>
      <c r="H77" s="266"/>
      <c r="I77" s="269"/>
      <c r="J77" s="267"/>
      <c r="K77" s="267"/>
      <c r="L77" s="267"/>
      <c r="M77" s="267"/>
      <c r="N77" s="266"/>
    </row>
    <row r="78" spans="5:14" x14ac:dyDescent="0.3">
      <c r="E78" s="267"/>
      <c r="F78" s="267"/>
      <c r="G78" s="266"/>
      <c r="H78" s="266"/>
      <c r="I78" s="269"/>
      <c r="J78" s="267"/>
      <c r="K78" s="267"/>
      <c r="L78" s="267"/>
      <c r="M78" s="267"/>
      <c r="N78" s="266"/>
    </row>
    <row r="79" spans="5:14" x14ac:dyDescent="0.3">
      <c r="E79" s="267"/>
      <c r="F79" s="267"/>
      <c r="G79" s="266"/>
      <c r="H79" s="266"/>
      <c r="I79" s="269"/>
      <c r="J79" s="267"/>
      <c r="K79" s="267"/>
      <c r="L79" s="267"/>
      <c r="M79" s="267"/>
      <c r="N79" s="266"/>
    </row>
    <row r="80" spans="5:14" x14ac:dyDescent="0.3">
      <c r="E80" s="267"/>
      <c r="F80" s="267"/>
      <c r="G80" s="266"/>
      <c r="H80" s="266"/>
      <c r="I80" s="269"/>
      <c r="J80" s="267"/>
      <c r="K80" s="267"/>
      <c r="L80" s="267"/>
      <c r="M80" s="267"/>
      <c r="N80" s="266"/>
    </row>
    <row r="81" spans="5:14" x14ac:dyDescent="0.3">
      <c r="E81" s="267"/>
      <c r="F81" s="267"/>
      <c r="G81" s="266"/>
      <c r="H81" s="266"/>
      <c r="I81" s="269"/>
      <c r="J81" s="267"/>
      <c r="K81" s="267"/>
      <c r="L81" s="267"/>
      <c r="M81" s="267"/>
      <c r="N81" s="266"/>
    </row>
    <row r="82" spans="5:14" x14ac:dyDescent="0.3">
      <c r="E82" s="267"/>
      <c r="F82" s="267"/>
      <c r="G82" s="266"/>
      <c r="H82" s="266"/>
      <c r="I82" s="266"/>
      <c r="J82" s="266"/>
      <c r="K82" s="266"/>
      <c r="L82" s="266"/>
      <c r="M82" s="266"/>
      <c r="N82" s="266"/>
    </row>
    <row r="83" spans="5:14" x14ac:dyDescent="0.3">
      <c r="E83" s="267"/>
      <c r="F83" s="267"/>
      <c r="G83" s="266"/>
      <c r="H83" s="266"/>
      <c r="I83" s="266"/>
      <c r="J83" s="266"/>
      <c r="K83" s="266"/>
      <c r="L83" s="266"/>
      <c r="M83" s="266"/>
      <c r="N83" s="266"/>
    </row>
    <row r="84" spans="5:14" x14ac:dyDescent="0.3">
      <c r="E84" s="267"/>
      <c r="F84" s="267"/>
      <c r="G84" s="266"/>
      <c r="H84" s="266"/>
      <c r="I84" s="266"/>
      <c r="J84" s="266"/>
      <c r="K84" s="266"/>
      <c r="L84" s="266"/>
      <c r="M84" s="266"/>
      <c r="N84" s="266"/>
    </row>
    <row r="85" spans="5:14" x14ac:dyDescent="0.3">
      <c r="E85" s="267"/>
      <c r="F85" s="267"/>
      <c r="G85" s="266"/>
      <c r="H85" s="266"/>
      <c r="I85" s="266"/>
      <c r="J85" s="266"/>
      <c r="K85" s="266"/>
      <c r="L85" s="266"/>
      <c r="M85" s="266"/>
      <c r="N85" s="266"/>
    </row>
    <row r="86" spans="5:14" x14ac:dyDescent="0.3">
      <c r="E86" s="267"/>
      <c r="F86" s="267"/>
      <c r="G86" s="266"/>
      <c r="H86" s="266"/>
      <c r="I86" s="266"/>
      <c r="J86" s="266"/>
      <c r="K86" s="266"/>
      <c r="L86" s="266"/>
      <c r="M86" s="266"/>
      <c r="N86" s="266"/>
    </row>
    <row r="87" spans="5:14" x14ac:dyDescent="0.3">
      <c r="E87" s="267"/>
      <c r="F87" s="267"/>
      <c r="G87" s="266"/>
      <c r="H87" s="266"/>
      <c r="I87" s="266"/>
      <c r="J87" s="266"/>
      <c r="K87" s="266"/>
      <c r="L87" s="266"/>
      <c r="M87" s="266"/>
      <c r="N87" s="266"/>
    </row>
    <row r="88" spans="5:14" x14ac:dyDescent="0.3">
      <c r="E88" s="267"/>
      <c r="F88" s="267"/>
      <c r="G88" s="266"/>
      <c r="H88" s="266"/>
      <c r="I88" s="266"/>
      <c r="J88" s="266"/>
      <c r="K88" s="266"/>
      <c r="L88" s="266"/>
      <c r="M88" s="266"/>
      <c r="N88" s="266"/>
    </row>
    <row r="89" spans="5:14" x14ac:dyDescent="0.3">
      <c r="E89" s="267"/>
      <c r="F89" s="267"/>
      <c r="G89" s="266"/>
      <c r="H89" s="266"/>
      <c r="I89" s="266"/>
      <c r="J89" s="266"/>
      <c r="K89" s="266"/>
      <c r="L89" s="266"/>
      <c r="M89" s="266"/>
      <c r="N89" s="266"/>
    </row>
    <row r="90" spans="5:14" x14ac:dyDescent="0.3">
      <c r="E90" s="267"/>
      <c r="F90" s="267"/>
      <c r="G90" s="266"/>
      <c r="H90" s="266"/>
      <c r="I90" s="266"/>
      <c r="J90" s="266"/>
      <c r="K90" s="266"/>
      <c r="L90" s="266"/>
      <c r="M90" s="266"/>
      <c r="N90" s="266"/>
    </row>
    <row r="91" spans="5:14" x14ac:dyDescent="0.3">
      <c r="E91" s="267"/>
      <c r="F91" s="267"/>
      <c r="G91" s="266"/>
      <c r="H91" s="266"/>
      <c r="I91" s="266"/>
      <c r="J91" s="266"/>
      <c r="K91" s="266"/>
      <c r="L91" s="266"/>
      <c r="M91" s="266"/>
      <c r="N91" s="266"/>
    </row>
    <row r="92" spans="5:14" x14ac:dyDescent="0.3">
      <c r="E92" s="267"/>
      <c r="F92" s="267"/>
      <c r="G92" s="266"/>
      <c r="H92" s="266"/>
      <c r="I92" s="266"/>
      <c r="J92" s="266"/>
      <c r="K92" s="266"/>
      <c r="L92" s="266"/>
      <c r="M92" s="266"/>
      <c r="N92" s="266"/>
    </row>
    <row r="93" spans="5:14" x14ac:dyDescent="0.3">
      <c r="E93" s="267"/>
      <c r="F93" s="267"/>
      <c r="G93" s="266"/>
      <c r="H93" s="266"/>
      <c r="I93" s="266"/>
      <c r="J93" s="266"/>
      <c r="K93" s="266"/>
      <c r="L93" s="266"/>
      <c r="M93" s="266"/>
      <c r="N93" s="266"/>
    </row>
    <row r="94" spans="5:14" x14ac:dyDescent="0.3">
      <c r="E94" s="267"/>
      <c r="F94" s="267"/>
      <c r="G94" s="266"/>
      <c r="H94" s="266"/>
      <c r="I94" s="266"/>
      <c r="J94" s="266"/>
      <c r="K94" s="266"/>
      <c r="L94" s="266"/>
      <c r="M94" s="266"/>
      <c r="N94" s="266"/>
    </row>
    <row r="95" spans="5:14" x14ac:dyDescent="0.3">
      <c r="E95" s="267"/>
      <c r="F95" s="267"/>
      <c r="G95" s="266"/>
      <c r="H95" s="266"/>
      <c r="I95" s="266"/>
      <c r="J95" s="266"/>
      <c r="K95" s="266"/>
      <c r="L95" s="266"/>
      <c r="M95" s="266"/>
      <c r="N95" s="266"/>
    </row>
    <row r="96" spans="5:14" x14ac:dyDescent="0.3">
      <c r="E96" s="267"/>
      <c r="F96" s="267"/>
      <c r="G96" s="266"/>
      <c r="H96" s="266"/>
      <c r="I96" s="266"/>
      <c r="J96" s="266"/>
      <c r="K96" s="266"/>
      <c r="L96" s="266"/>
      <c r="M96" s="266"/>
      <c r="N96" s="266"/>
    </row>
    <row r="97" spans="5:14" x14ac:dyDescent="0.3">
      <c r="E97" s="267"/>
      <c r="F97" s="267"/>
      <c r="G97" s="266"/>
      <c r="H97" s="266"/>
      <c r="I97" s="266"/>
      <c r="J97" s="266"/>
      <c r="K97" s="266"/>
      <c r="L97" s="266"/>
      <c r="M97" s="266"/>
      <c r="N97" s="266"/>
    </row>
    <row r="98" spans="5:14" x14ac:dyDescent="0.3">
      <c r="E98" s="267"/>
      <c r="F98" s="267"/>
      <c r="G98" s="266"/>
      <c r="H98" s="266"/>
      <c r="I98" s="266"/>
      <c r="J98" s="266"/>
      <c r="K98" s="266"/>
      <c r="L98" s="266"/>
      <c r="M98" s="266"/>
      <c r="N98" s="266"/>
    </row>
    <row r="99" spans="5:14" x14ac:dyDescent="0.3">
      <c r="E99" s="267"/>
      <c r="F99" s="267"/>
      <c r="G99" s="266"/>
      <c r="H99" s="266"/>
      <c r="I99" s="266"/>
      <c r="J99" s="266"/>
      <c r="K99" s="266"/>
      <c r="L99" s="266"/>
      <c r="M99" s="266"/>
      <c r="N99" s="266"/>
    </row>
    <row r="100" spans="5:14" x14ac:dyDescent="0.3">
      <c r="E100" s="267"/>
      <c r="F100" s="267"/>
      <c r="G100" s="266"/>
      <c r="H100" s="266"/>
      <c r="I100" s="266"/>
      <c r="J100" s="266"/>
      <c r="K100" s="266"/>
      <c r="L100" s="266"/>
      <c r="M100" s="266"/>
      <c r="N100" s="266"/>
    </row>
    <row r="101" spans="5:14" x14ac:dyDescent="0.3">
      <c r="E101" s="267"/>
      <c r="F101" s="267"/>
      <c r="G101" s="266"/>
      <c r="H101" s="266"/>
      <c r="I101" s="266"/>
      <c r="J101" s="266"/>
      <c r="K101" s="266"/>
      <c r="L101" s="266"/>
      <c r="M101" s="266"/>
      <c r="N101" s="266"/>
    </row>
    <row r="102" spans="5:14" x14ac:dyDescent="0.3">
      <c r="E102" s="267"/>
      <c r="F102" s="267"/>
      <c r="G102" s="266"/>
      <c r="H102" s="266"/>
      <c r="I102" s="266"/>
      <c r="J102" s="266"/>
      <c r="K102" s="266"/>
      <c r="L102" s="266"/>
      <c r="M102" s="266"/>
      <c r="N102" s="266"/>
    </row>
    <row r="103" spans="5:14" x14ac:dyDescent="0.3">
      <c r="E103" s="267"/>
      <c r="F103" s="267"/>
      <c r="G103" s="266"/>
      <c r="H103" s="266"/>
      <c r="I103" s="266"/>
      <c r="J103" s="266"/>
      <c r="K103" s="266"/>
      <c r="L103" s="266"/>
      <c r="M103" s="266"/>
      <c r="N103" s="266"/>
    </row>
    <row r="104" spans="5:14" x14ac:dyDescent="0.3">
      <c r="E104" s="267"/>
      <c r="F104" s="267"/>
      <c r="G104" s="266"/>
      <c r="H104" s="266"/>
      <c r="I104" s="266"/>
      <c r="J104" s="266"/>
      <c r="K104" s="266"/>
      <c r="L104" s="266"/>
      <c r="M104" s="266"/>
      <c r="N104" s="266"/>
    </row>
    <row r="105" spans="5:14" x14ac:dyDescent="0.3">
      <c r="E105" s="267"/>
      <c r="F105" s="267"/>
      <c r="G105" s="266"/>
      <c r="H105" s="266"/>
      <c r="I105" s="266"/>
      <c r="J105" s="266"/>
      <c r="K105" s="266"/>
      <c r="L105" s="266"/>
      <c r="M105" s="266"/>
      <c r="N105" s="266"/>
    </row>
    <row r="106" spans="5:14" x14ac:dyDescent="0.3">
      <c r="E106" s="267"/>
      <c r="F106" s="267"/>
      <c r="G106" s="266"/>
      <c r="H106" s="266"/>
      <c r="I106" s="266"/>
      <c r="J106" s="266"/>
      <c r="K106" s="266"/>
      <c r="L106" s="266"/>
      <c r="M106" s="266"/>
      <c r="N106" s="266"/>
    </row>
    <row r="107" spans="5:14" x14ac:dyDescent="0.3">
      <c r="E107" s="267"/>
      <c r="F107" s="267"/>
      <c r="G107" s="266"/>
      <c r="H107" s="266"/>
      <c r="I107" s="266"/>
      <c r="J107" s="266"/>
      <c r="K107" s="266"/>
      <c r="L107" s="266"/>
      <c r="M107" s="266"/>
      <c r="N107" s="266"/>
    </row>
    <row r="108" spans="5:14" x14ac:dyDescent="0.3">
      <c r="E108" s="267"/>
      <c r="F108" s="267"/>
      <c r="G108" s="266"/>
      <c r="H108" s="266"/>
      <c r="I108" s="266"/>
      <c r="J108" s="266"/>
      <c r="K108" s="266"/>
      <c r="L108" s="266"/>
      <c r="M108" s="266"/>
      <c r="N108" s="266"/>
    </row>
    <row r="109" spans="5:14" x14ac:dyDescent="0.3">
      <c r="E109" s="267"/>
      <c r="F109" s="267"/>
      <c r="G109" s="266"/>
      <c r="H109" s="266"/>
      <c r="I109" s="266"/>
      <c r="J109" s="266"/>
      <c r="K109" s="266"/>
      <c r="L109" s="266"/>
      <c r="M109" s="266"/>
      <c r="N109" s="266"/>
    </row>
    <row r="110" spans="5:14" x14ac:dyDescent="0.3">
      <c r="E110" s="267"/>
      <c r="F110" s="267"/>
      <c r="G110" s="266"/>
      <c r="H110" s="266"/>
      <c r="I110" s="266"/>
      <c r="J110" s="266"/>
      <c r="K110" s="266"/>
      <c r="L110" s="266"/>
      <c r="M110" s="266"/>
      <c r="N110" s="266"/>
    </row>
    <row r="111" spans="5:14" x14ac:dyDescent="0.3">
      <c r="E111" s="267"/>
      <c r="F111" s="267"/>
      <c r="G111" s="266"/>
      <c r="H111" s="266"/>
      <c r="I111" s="266"/>
      <c r="J111" s="266"/>
      <c r="K111" s="266"/>
      <c r="L111" s="266"/>
      <c r="M111" s="266"/>
      <c r="N111" s="266"/>
    </row>
    <row r="112" spans="5:14" x14ac:dyDescent="0.3">
      <c r="E112" s="267"/>
      <c r="F112" s="267"/>
      <c r="G112" s="266"/>
      <c r="H112" s="266"/>
      <c r="I112" s="266"/>
      <c r="J112" s="266"/>
      <c r="K112" s="266"/>
      <c r="L112" s="266"/>
      <c r="M112" s="266"/>
      <c r="N112" s="266"/>
    </row>
    <row r="113" spans="3:14" x14ac:dyDescent="0.3">
      <c r="E113" s="267"/>
      <c r="F113" s="267"/>
      <c r="G113" s="266"/>
      <c r="H113" s="266"/>
      <c r="I113" s="266"/>
      <c r="J113" s="266"/>
      <c r="K113" s="266"/>
      <c r="L113" s="266"/>
      <c r="M113" s="266"/>
      <c r="N113" s="266"/>
    </row>
    <row r="114" spans="3:14" x14ac:dyDescent="0.3">
      <c r="C114" s="34"/>
      <c r="D114" s="34"/>
      <c r="E114" s="267"/>
      <c r="F114" s="267"/>
      <c r="G114" s="266"/>
      <c r="H114" s="266"/>
      <c r="I114" s="266"/>
      <c r="J114" s="266"/>
      <c r="K114" s="266"/>
      <c r="L114" s="266"/>
      <c r="M114" s="266"/>
      <c r="N114" s="266"/>
    </row>
    <row r="115" spans="3:14" x14ac:dyDescent="0.3">
      <c r="E115" s="266"/>
      <c r="F115" s="266"/>
      <c r="G115" s="266"/>
      <c r="H115" s="266"/>
      <c r="I115" s="266"/>
      <c r="J115" s="266"/>
      <c r="K115" s="266"/>
      <c r="L115" s="266"/>
      <c r="M115" s="266"/>
      <c r="N115" s="266"/>
    </row>
    <row r="116" spans="3:14" x14ac:dyDescent="0.3">
      <c r="E116" s="266"/>
      <c r="F116" s="266"/>
      <c r="G116" s="266"/>
      <c r="H116" s="266"/>
      <c r="I116" s="266"/>
      <c r="J116" s="266"/>
      <c r="K116" s="266"/>
      <c r="L116" s="266"/>
      <c r="M116" s="266"/>
      <c r="N116" s="266"/>
    </row>
    <row r="117" spans="3:14" x14ac:dyDescent="0.3">
      <c r="E117" s="266"/>
      <c r="F117" s="266"/>
      <c r="G117" s="266"/>
      <c r="H117" s="266"/>
      <c r="I117" s="266"/>
      <c r="J117" s="266"/>
      <c r="K117" s="266"/>
      <c r="L117" s="266"/>
      <c r="M117" s="266"/>
      <c r="N117" s="266"/>
    </row>
    <row r="118" spans="3:14" x14ac:dyDescent="0.3">
      <c r="E118" s="266"/>
      <c r="F118" s="266"/>
      <c r="G118" s="266"/>
      <c r="H118" s="266"/>
      <c r="I118" s="266"/>
      <c r="J118" s="266"/>
      <c r="K118" s="266"/>
      <c r="L118" s="266"/>
      <c r="M118" s="266"/>
      <c r="N118" s="266"/>
    </row>
    <row r="119" spans="3:14" x14ac:dyDescent="0.3">
      <c r="E119" s="266"/>
      <c r="F119" s="266"/>
      <c r="G119" s="266"/>
      <c r="H119" s="266"/>
      <c r="I119" s="266"/>
      <c r="J119" s="266"/>
      <c r="K119" s="266"/>
      <c r="L119" s="266"/>
      <c r="M119" s="266"/>
      <c r="N119" s="266"/>
    </row>
    <row r="120" spans="3:14" x14ac:dyDescent="0.3">
      <c r="E120" s="266"/>
      <c r="F120" s="266"/>
      <c r="G120" s="266"/>
      <c r="H120" s="266"/>
      <c r="I120" s="266"/>
      <c r="J120" s="266"/>
      <c r="K120" s="266"/>
      <c r="L120" s="266"/>
      <c r="M120" s="266"/>
      <c r="N120" s="266"/>
    </row>
    <row r="121" spans="3:14" x14ac:dyDescent="0.3">
      <c r="E121" s="266"/>
      <c r="F121" s="266"/>
      <c r="G121" s="266"/>
      <c r="H121" s="266"/>
      <c r="I121" s="266"/>
      <c r="J121" s="266"/>
      <c r="K121" s="266"/>
      <c r="L121" s="266"/>
      <c r="M121" s="266"/>
      <c r="N121" s="266"/>
    </row>
    <row r="122" spans="3:14" x14ac:dyDescent="0.3">
      <c r="E122" s="266"/>
      <c r="F122" s="266"/>
      <c r="G122" s="266"/>
      <c r="H122" s="266"/>
      <c r="I122" s="266"/>
      <c r="J122" s="266"/>
      <c r="K122" s="266"/>
      <c r="L122" s="266"/>
      <c r="M122" s="266"/>
      <c r="N122" s="266"/>
    </row>
    <row r="123" spans="3:14" x14ac:dyDescent="0.3">
      <c r="E123" s="266"/>
      <c r="F123" s="266"/>
      <c r="G123" s="266"/>
      <c r="H123" s="266"/>
      <c r="I123" s="266"/>
      <c r="J123" s="266"/>
      <c r="K123" s="266"/>
      <c r="L123" s="266"/>
      <c r="M123" s="266"/>
      <c r="N123" s="266"/>
    </row>
    <row r="124" spans="3:14" x14ac:dyDescent="0.3">
      <c r="E124" s="266"/>
      <c r="F124" s="266"/>
      <c r="G124" s="266"/>
      <c r="H124" s="266"/>
      <c r="I124" s="266"/>
      <c r="J124" s="266"/>
      <c r="K124" s="266"/>
      <c r="L124" s="266"/>
      <c r="M124" s="266"/>
      <c r="N124" s="266"/>
    </row>
    <row r="125" spans="3:14" x14ac:dyDescent="0.3">
      <c r="E125" s="266"/>
      <c r="F125" s="266"/>
      <c r="G125" s="266"/>
      <c r="H125" s="266"/>
      <c r="I125" s="266"/>
      <c r="J125" s="266"/>
      <c r="K125" s="266"/>
      <c r="L125" s="266"/>
      <c r="M125" s="266"/>
      <c r="N125" s="266"/>
    </row>
    <row r="126" spans="3:14" x14ac:dyDescent="0.3">
      <c r="E126" s="266"/>
      <c r="F126" s="266"/>
      <c r="G126" s="266"/>
      <c r="H126" s="266"/>
      <c r="I126" s="266"/>
      <c r="J126" s="266"/>
      <c r="K126" s="266"/>
      <c r="L126" s="266"/>
      <c r="M126" s="266"/>
      <c r="N126" s="266"/>
    </row>
    <row r="127" spans="3:14" x14ac:dyDescent="0.3">
      <c r="E127" s="266"/>
      <c r="F127" s="266"/>
      <c r="G127" s="266"/>
      <c r="H127" s="266"/>
      <c r="I127" s="266"/>
      <c r="J127" s="266"/>
      <c r="K127" s="266"/>
      <c r="L127" s="266"/>
      <c r="M127" s="266"/>
      <c r="N127" s="266"/>
    </row>
    <row r="128" spans="3:14" x14ac:dyDescent="0.3">
      <c r="E128" s="266"/>
      <c r="F128" s="266"/>
      <c r="G128" s="266"/>
      <c r="H128" s="266"/>
      <c r="I128" s="266"/>
      <c r="J128" s="266"/>
      <c r="K128" s="266"/>
      <c r="L128" s="266"/>
      <c r="M128" s="266"/>
      <c r="N128" s="266"/>
    </row>
    <row r="129" spans="5:14" x14ac:dyDescent="0.3">
      <c r="E129" s="266"/>
      <c r="F129" s="266"/>
      <c r="G129" s="266"/>
      <c r="H129" s="266"/>
      <c r="I129" s="266"/>
      <c r="J129" s="266"/>
      <c r="K129" s="266"/>
      <c r="L129" s="266"/>
      <c r="M129" s="266"/>
      <c r="N129" s="266"/>
    </row>
    <row r="130" spans="5:14" x14ac:dyDescent="0.3">
      <c r="E130" s="266"/>
      <c r="F130" s="266"/>
      <c r="G130" s="266"/>
      <c r="H130" s="266"/>
      <c r="I130" s="266"/>
      <c r="J130" s="266"/>
      <c r="K130" s="266"/>
      <c r="L130" s="266"/>
      <c r="M130" s="266"/>
      <c r="N130" s="266"/>
    </row>
    <row r="131" spans="5:14" x14ac:dyDescent="0.3">
      <c r="E131" s="266"/>
      <c r="F131" s="266"/>
      <c r="G131" s="266"/>
      <c r="H131" s="266"/>
      <c r="I131" s="266"/>
      <c r="J131" s="266"/>
      <c r="K131" s="266"/>
      <c r="L131" s="266"/>
      <c r="M131" s="266"/>
      <c r="N131" s="266"/>
    </row>
    <row r="132" spans="5:14" x14ac:dyDescent="0.3">
      <c r="E132" s="266"/>
      <c r="F132" s="266"/>
      <c r="G132" s="266"/>
      <c r="H132" s="266"/>
      <c r="I132" s="266"/>
      <c r="J132" s="266"/>
      <c r="K132" s="266"/>
      <c r="L132" s="266"/>
      <c r="M132" s="266"/>
      <c r="N132" s="266"/>
    </row>
    <row r="133" spans="5:14" x14ac:dyDescent="0.3">
      <c r="E133" s="266"/>
      <c r="F133" s="266"/>
      <c r="G133" s="266"/>
      <c r="H133" s="266"/>
      <c r="I133" s="266"/>
      <c r="J133" s="266"/>
      <c r="K133" s="266"/>
      <c r="L133" s="266"/>
      <c r="M133" s="266"/>
      <c r="N133" s="266"/>
    </row>
    <row r="134" spans="5:14" x14ac:dyDescent="0.3">
      <c r="E134" s="266"/>
      <c r="F134" s="266"/>
      <c r="G134" s="266"/>
      <c r="H134" s="266"/>
      <c r="I134" s="266"/>
      <c r="J134" s="266"/>
      <c r="K134" s="266"/>
      <c r="L134" s="266"/>
      <c r="M134" s="266"/>
      <c r="N134" s="266"/>
    </row>
    <row r="135" spans="5:14" x14ac:dyDescent="0.3">
      <c r="E135" s="266"/>
      <c r="F135" s="266"/>
      <c r="G135" s="266"/>
      <c r="H135" s="266"/>
      <c r="I135" s="266"/>
      <c r="J135" s="266"/>
      <c r="K135" s="266"/>
      <c r="L135" s="266"/>
      <c r="M135" s="266"/>
      <c r="N135" s="266"/>
    </row>
    <row r="136" spans="5:14" x14ac:dyDescent="0.3">
      <c r="E136" s="266"/>
      <c r="F136" s="266"/>
      <c r="G136" s="266"/>
      <c r="H136" s="266"/>
      <c r="I136" s="266"/>
      <c r="J136" s="266"/>
      <c r="K136" s="266"/>
      <c r="L136" s="266"/>
      <c r="M136" s="266"/>
      <c r="N136" s="266"/>
    </row>
    <row r="137" spans="5:14" x14ac:dyDescent="0.3">
      <c r="E137" s="266"/>
      <c r="F137" s="266"/>
      <c r="G137" s="266"/>
      <c r="H137" s="266"/>
      <c r="I137" s="266"/>
      <c r="J137" s="266"/>
      <c r="K137" s="266"/>
      <c r="L137" s="266"/>
      <c r="M137" s="266"/>
      <c r="N137" s="266"/>
    </row>
    <row r="138" spans="5:14" x14ac:dyDescent="0.3">
      <c r="E138" s="266"/>
      <c r="F138" s="266"/>
      <c r="G138" s="266"/>
      <c r="H138" s="266"/>
      <c r="I138" s="266"/>
      <c r="J138" s="266"/>
      <c r="K138" s="266"/>
      <c r="L138" s="266"/>
      <c r="M138" s="266"/>
      <c r="N138" s="266"/>
    </row>
    <row r="139" spans="5:14" x14ac:dyDescent="0.3">
      <c r="E139" s="266"/>
      <c r="F139" s="266"/>
      <c r="G139" s="266"/>
      <c r="H139" s="266"/>
      <c r="I139" s="266"/>
      <c r="J139" s="266"/>
      <c r="K139" s="266"/>
      <c r="L139" s="266"/>
      <c r="M139" s="266"/>
      <c r="N139" s="266"/>
    </row>
    <row r="140" spans="5:14" x14ac:dyDescent="0.3">
      <c r="E140" s="266"/>
      <c r="F140" s="266"/>
      <c r="G140" s="266"/>
      <c r="H140" s="266"/>
      <c r="I140" s="266"/>
      <c r="J140" s="266"/>
      <c r="K140" s="266"/>
      <c r="L140" s="266"/>
      <c r="M140" s="266"/>
      <c r="N140" s="266"/>
    </row>
    <row r="141" spans="5:14" x14ac:dyDescent="0.3">
      <c r="E141" s="266"/>
      <c r="F141" s="266"/>
      <c r="G141" s="266"/>
      <c r="H141" s="266"/>
      <c r="I141" s="266"/>
      <c r="J141" s="266"/>
      <c r="K141" s="266"/>
      <c r="L141" s="266"/>
      <c r="M141" s="266"/>
      <c r="N141" s="266"/>
    </row>
    <row r="142" spans="5:14" x14ac:dyDescent="0.3">
      <c r="E142" s="266"/>
      <c r="F142" s="266"/>
      <c r="G142" s="266"/>
      <c r="H142" s="266"/>
      <c r="I142" s="266"/>
      <c r="J142" s="266"/>
      <c r="K142" s="266"/>
      <c r="L142" s="266"/>
      <c r="M142" s="266"/>
      <c r="N142" s="266"/>
    </row>
    <row r="143" spans="5:14" x14ac:dyDescent="0.3">
      <c r="E143" s="266"/>
      <c r="F143" s="266"/>
      <c r="G143" s="266"/>
      <c r="H143" s="266"/>
      <c r="I143" s="266"/>
      <c r="J143" s="266"/>
      <c r="K143" s="266"/>
      <c r="L143" s="266"/>
      <c r="M143" s="266"/>
      <c r="N143" s="266"/>
    </row>
    <row r="144" spans="5:14" x14ac:dyDescent="0.3">
      <c r="E144" s="266"/>
      <c r="F144" s="266"/>
      <c r="G144" s="266"/>
      <c r="H144" s="266"/>
      <c r="I144" s="266"/>
      <c r="J144" s="266"/>
      <c r="K144" s="266"/>
      <c r="L144" s="266"/>
      <c r="M144" s="266"/>
      <c r="N144" s="266"/>
    </row>
    <row r="145" spans="5:14" x14ac:dyDescent="0.3">
      <c r="E145" s="266"/>
      <c r="F145" s="266"/>
      <c r="G145" s="266"/>
      <c r="H145" s="266"/>
      <c r="I145" s="266"/>
      <c r="J145" s="266"/>
      <c r="K145" s="266"/>
      <c r="L145" s="266"/>
      <c r="M145" s="266"/>
      <c r="N145" s="266"/>
    </row>
    <row r="146" spans="5:14" x14ac:dyDescent="0.3">
      <c r="E146" s="266"/>
      <c r="F146" s="266"/>
      <c r="G146" s="266"/>
      <c r="H146" s="266"/>
      <c r="I146" s="266"/>
      <c r="J146" s="266"/>
      <c r="K146" s="266"/>
      <c r="L146" s="266"/>
      <c r="M146" s="266"/>
      <c r="N146" s="266"/>
    </row>
    <row r="147" spans="5:14" x14ac:dyDescent="0.3">
      <c r="E147" s="266"/>
      <c r="F147" s="266"/>
      <c r="G147" s="266"/>
      <c r="H147" s="266"/>
      <c r="I147" s="266"/>
      <c r="J147" s="266"/>
      <c r="K147" s="266"/>
      <c r="L147" s="266"/>
      <c r="M147" s="266"/>
      <c r="N147" s="266"/>
    </row>
    <row r="148" spans="5:14" x14ac:dyDescent="0.3">
      <c r="E148" s="266"/>
      <c r="F148" s="266"/>
      <c r="G148" s="266"/>
      <c r="H148" s="266"/>
      <c r="I148" s="266"/>
      <c r="J148" s="266"/>
      <c r="K148" s="266"/>
      <c r="L148" s="266"/>
      <c r="M148" s="266"/>
      <c r="N148" s="266"/>
    </row>
    <row r="149" spans="5:14" x14ac:dyDescent="0.3">
      <c r="E149" s="266"/>
      <c r="F149" s="266"/>
      <c r="G149" s="266"/>
      <c r="H149" s="266"/>
      <c r="I149" s="266"/>
      <c r="J149" s="266"/>
      <c r="K149" s="266"/>
      <c r="L149" s="266"/>
      <c r="M149" s="266"/>
      <c r="N149" s="266"/>
    </row>
    <row r="150" spans="5:14" x14ac:dyDescent="0.3">
      <c r="E150" s="266"/>
      <c r="F150" s="266"/>
      <c r="G150" s="266"/>
      <c r="H150" s="266"/>
      <c r="I150" s="266"/>
      <c r="J150" s="266"/>
      <c r="K150" s="266"/>
      <c r="L150" s="266"/>
      <c r="M150" s="266"/>
      <c r="N150" s="266"/>
    </row>
    <row r="151" spans="5:14" x14ac:dyDescent="0.3">
      <c r="E151" s="266"/>
      <c r="F151" s="266"/>
      <c r="G151" s="266"/>
      <c r="H151" s="266"/>
      <c r="I151" s="266"/>
      <c r="J151" s="266"/>
      <c r="K151" s="266"/>
      <c r="L151" s="266"/>
      <c r="M151" s="266"/>
      <c r="N151" s="266"/>
    </row>
    <row r="152" spans="5:14" x14ac:dyDescent="0.3">
      <c r="E152" s="266"/>
      <c r="F152" s="266"/>
      <c r="G152" s="266"/>
      <c r="H152" s="266"/>
      <c r="I152" s="266"/>
      <c r="J152" s="266"/>
      <c r="K152" s="266"/>
      <c r="L152" s="266"/>
      <c r="M152" s="266"/>
      <c r="N152" s="266"/>
    </row>
    <row r="153" spans="5:14" x14ac:dyDescent="0.3">
      <c r="E153" s="266"/>
      <c r="F153" s="266"/>
      <c r="G153" s="266"/>
      <c r="H153" s="266"/>
      <c r="I153" s="266"/>
      <c r="J153" s="266"/>
      <c r="K153" s="266"/>
      <c r="L153" s="266"/>
      <c r="M153" s="266"/>
      <c r="N153" s="266"/>
    </row>
    <row r="154" spans="5:14" x14ac:dyDescent="0.3">
      <c r="E154" s="266"/>
      <c r="F154" s="266"/>
      <c r="G154" s="266"/>
      <c r="H154" s="266"/>
      <c r="I154" s="266"/>
      <c r="J154" s="266"/>
      <c r="K154" s="266"/>
      <c r="L154" s="266"/>
      <c r="M154" s="266"/>
      <c r="N154" s="266"/>
    </row>
    <row r="155" spans="5:14" x14ac:dyDescent="0.3">
      <c r="E155" s="266"/>
      <c r="F155" s="266"/>
      <c r="G155" s="266"/>
      <c r="H155" s="266"/>
      <c r="I155" s="266"/>
      <c r="J155" s="266"/>
      <c r="K155" s="266"/>
      <c r="L155" s="266"/>
      <c r="M155" s="266"/>
      <c r="N155" s="266"/>
    </row>
    <row r="156" spans="5:14" x14ac:dyDescent="0.3">
      <c r="E156" s="266"/>
      <c r="F156" s="266"/>
      <c r="G156" s="266"/>
      <c r="H156" s="266"/>
      <c r="I156" s="266"/>
      <c r="J156" s="266"/>
      <c r="K156" s="266"/>
      <c r="L156" s="266"/>
      <c r="M156" s="266"/>
      <c r="N156" s="266"/>
    </row>
    <row r="157" spans="5:14" x14ac:dyDescent="0.3">
      <c r="E157" s="266"/>
      <c r="F157" s="266"/>
      <c r="G157" s="266"/>
      <c r="H157" s="266"/>
      <c r="I157" s="266"/>
      <c r="J157" s="266"/>
      <c r="K157" s="266"/>
      <c r="L157" s="266"/>
      <c r="M157" s="266"/>
      <c r="N157" s="266"/>
    </row>
    <row r="158" spans="5:14" x14ac:dyDescent="0.3">
      <c r="E158" s="266"/>
      <c r="F158" s="266"/>
      <c r="G158" s="266"/>
      <c r="H158" s="266"/>
      <c r="I158" s="266"/>
      <c r="J158" s="266"/>
      <c r="K158" s="266"/>
      <c r="L158" s="266"/>
      <c r="M158" s="266"/>
      <c r="N158" s="266"/>
    </row>
    <row r="159" spans="5:14" x14ac:dyDescent="0.3">
      <c r="E159" s="266"/>
      <c r="F159" s="266"/>
      <c r="G159" s="266"/>
      <c r="H159" s="266"/>
      <c r="I159" s="266"/>
      <c r="J159" s="266"/>
      <c r="K159" s="266"/>
      <c r="L159" s="266"/>
      <c r="M159" s="266"/>
      <c r="N159" s="266"/>
    </row>
    <row r="160" spans="5:14" x14ac:dyDescent="0.3">
      <c r="E160" s="266"/>
      <c r="F160" s="266"/>
      <c r="G160" s="266"/>
      <c r="H160" s="266"/>
      <c r="I160" s="266"/>
      <c r="J160" s="266"/>
      <c r="K160" s="266"/>
      <c r="L160" s="266"/>
      <c r="M160" s="266"/>
      <c r="N160" s="266"/>
    </row>
    <row r="161" spans="5:14" x14ac:dyDescent="0.3">
      <c r="E161" s="266"/>
      <c r="F161" s="266"/>
      <c r="G161" s="266"/>
      <c r="H161" s="266"/>
      <c r="I161" s="266"/>
      <c r="J161" s="266"/>
      <c r="K161" s="266"/>
      <c r="L161" s="266"/>
      <c r="M161" s="266"/>
      <c r="N161" s="266"/>
    </row>
    <row r="162" spans="5:14" x14ac:dyDescent="0.3">
      <c r="E162" s="266"/>
      <c r="F162" s="266"/>
      <c r="G162" s="266"/>
      <c r="H162" s="266"/>
      <c r="I162" s="266"/>
      <c r="J162" s="266"/>
      <c r="K162" s="266"/>
      <c r="L162" s="266"/>
      <c r="M162" s="266"/>
      <c r="N162" s="266"/>
    </row>
    <row r="163" spans="5:14" x14ac:dyDescent="0.3">
      <c r="E163" s="266"/>
      <c r="F163" s="266"/>
      <c r="G163" s="266"/>
      <c r="H163" s="266"/>
      <c r="I163" s="266"/>
      <c r="J163" s="266"/>
      <c r="K163" s="266"/>
      <c r="L163" s="266"/>
      <c r="M163" s="266"/>
      <c r="N163" s="266"/>
    </row>
    <row r="164" spans="5:14" x14ac:dyDescent="0.3">
      <c r="E164" s="266"/>
      <c r="F164" s="266"/>
      <c r="G164" s="266"/>
      <c r="H164" s="266"/>
      <c r="I164" s="266"/>
      <c r="J164" s="266"/>
      <c r="K164" s="266"/>
      <c r="L164" s="266"/>
      <c r="M164" s="266"/>
      <c r="N164" s="266"/>
    </row>
    <row r="165" spans="5:14" x14ac:dyDescent="0.3">
      <c r="E165" s="266"/>
      <c r="F165" s="266"/>
      <c r="G165" s="266"/>
      <c r="H165" s="266"/>
      <c r="I165" s="266"/>
      <c r="J165" s="266"/>
      <c r="K165" s="266"/>
      <c r="L165" s="266"/>
      <c r="M165" s="266"/>
      <c r="N165" s="266"/>
    </row>
    <row r="166" spans="5:14" x14ac:dyDescent="0.3">
      <c r="E166" s="266"/>
      <c r="F166" s="266"/>
      <c r="G166" s="266"/>
      <c r="H166" s="266"/>
      <c r="I166" s="266"/>
      <c r="J166" s="266"/>
      <c r="K166" s="266"/>
      <c r="L166" s="266"/>
      <c r="M166" s="266"/>
      <c r="N166" s="266"/>
    </row>
    <row r="167" spans="5:14" x14ac:dyDescent="0.3">
      <c r="E167" s="266"/>
      <c r="F167" s="266"/>
      <c r="G167" s="266"/>
      <c r="H167" s="266"/>
      <c r="I167" s="266"/>
      <c r="J167" s="266"/>
      <c r="K167" s="266"/>
      <c r="L167" s="266"/>
      <c r="M167" s="266"/>
      <c r="N167" s="266"/>
    </row>
    <row r="168" spans="5:14" x14ac:dyDescent="0.3">
      <c r="E168" s="266"/>
      <c r="F168" s="266"/>
      <c r="G168" s="266"/>
      <c r="H168" s="266"/>
      <c r="I168" s="266"/>
      <c r="J168" s="266"/>
      <c r="K168" s="266"/>
      <c r="L168" s="266"/>
      <c r="M168" s="266"/>
      <c r="N168" s="266"/>
    </row>
    <row r="169" spans="5:14" x14ac:dyDescent="0.3">
      <c r="E169" s="266"/>
      <c r="F169" s="266"/>
      <c r="G169" s="266"/>
      <c r="H169" s="266"/>
      <c r="I169" s="266"/>
      <c r="J169" s="266"/>
      <c r="K169" s="266"/>
      <c r="L169" s="266"/>
      <c r="M169" s="266"/>
      <c r="N169" s="266"/>
    </row>
    <row r="170" spans="5:14" x14ac:dyDescent="0.3">
      <c r="E170" s="266"/>
      <c r="F170" s="266"/>
      <c r="G170" s="266"/>
      <c r="H170" s="266"/>
      <c r="I170" s="266"/>
      <c r="J170" s="266"/>
      <c r="K170" s="266"/>
      <c r="L170" s="266"/>
      <c r="M170" s="266"/>
      <c r="N170" s="266"/>
    </row>
    <row r="171" spans="5:14" x14ac:dyDescent="0.3">
      <c r="E171" s="266"/>
      <c r="F171" s="266"/>
      <c r="G171" s="266"/>
      <c r="H171" s="266"/>
      <c r="I171" s="266"/>
      <c r="J171" s="266"/>
      <c r="K171" s="266"/>
      <c r="L171" s="266"/>
      <c r="M171" s="266"/>
      <c r="N171" s="266"/>
    </row>
    <row r="172" spans="5:14" x14ac:dyDescent="0.3">
      <c r="E172" s="266"/>
      <c r="F172" s="266"/>
      <c r="G172" s="266"/>
      <c r="H172" s="266"/>
      <c r="I172" s="266"/>
      <c r="J172" s="266"/>
      <c r="K172" s="266"/>
      <c r="L172" s="266"/>
      <c r="M172" s="266"/>
      <c r="N172" s="266"/>
    </row>
    <row r="173" spans="5:14" x14ac:dyDescent="0.3">
      <c r="E173" s="266"/>
      <c r="F173" s="266"/>
      <c r="G173" s="266"/>
      <c r="H173" s="266"/>
      <c r="I173" s="266"/>
      <c r="J173" s="266"/>
      <c r="K173" s="266"/>
      <c r="L173" s="266"/>
      <c r="M173" s="266"/>
      <c r="N173" s="266"/>
    </row>
    <row r="174" spans="5:14" x14ac:dyDescent="0.3">
      <c r="E174" s="266"/>
      <c r="F174" s="266"/>
      <c r="G174" s="266"/>
      <c r="H174" s="266"/>
      <c r="I174" s="266"/>
      <c r="J174" s="266"/>
      <c r="K174" s="266"/>
      <c r="L174" s="266"/>
      <c r="M174" s="266"/>
      <c r="N174" s="266"/>
    </row>
    <row r="175" spans="5:14" x14ac:dyDescent="0.3">
      <c r="E175" s="266"/>
      <c r="F175" s="266"/>
      <c r="G175" s="266"/>
      <c r="H175" s="266"/>
      <c r="I175" s="266"/>
      <c r="J175" s="266"/>
      <c r="K175" s="266"/>
      <c r="L175" s="266"/>
      <c r="M175" s="266"/>
      <c r="N175" s="266"/>
    </row>
    <row r="176" spans="5:14" x14ac:dyDescent="0.3">
      <c r="E176" s="266"/>
      <c r="F176" s="266"/>
      <c r="G176" s="266"/>
      <c r="H176" s="266"/>
      <c r="I176" s="266"/>
      <c r="J176" s="266"/>
      <c r="K176" s="266"/>
      <c r="L176" s="266"/>
      <c r="M176" s="266"/>
      <c r="N176" s="266"/>
    </row>
    <row r="177" spans="5:14" x14ac:dyDescent="0.3">
      <c r="E177" s="266"/>
      <c r="F177" s="266"/>
      <c r="G177" s="266"/>
      <c r="H177" s="266"/>
      <c r="I177" s="266"/>
      <c r="J177" s="266"/>
      <c r="K177" s="266"/>
      <c r="L177" s="266"/>
      <c r="M177" s="266"/>
      <c r="N177" s="266"/>
    </row>
    <row r="178" spans="5:14" x14ac:dyDescent="0.3">
      <c r="E178" s="266"/>
      <c r="F178" s="266"/>
      <c r="G178" s="266"/>
      <c r="H178" s="266"/>
      <c r="I178" s="266"/>
      <c r="J178" s="266"/>
      <c r="K178" s="266"/>
      <c r="L178" s="266"/>
      <c r="M178" s="266"/>
      <c r="N178" s="266"/>
    </row>
    <row r="179" spans="5:14" x14ac:dyDescent="0.3">
      <c r="E179" s="266"/>
      <c r="F179" s="266"/>
      <c r="G179" s="266"/>
      <c r="H179" s="266"/>
      <c r="I179" s="266"/>
      <c r="J179" s="266"/>
      <c r="K179" s="266"/>
      <c r="L179" s="266"/>
      <c r="M179" s="266"/>
      <c r="N179" s="266"/>
    </row>
    <row r="180" spans="5:14" x14ac:dyDescent="0.3">
      <c r="E180" s="266"/>
      <c r="F180" s="266"/>
      <c r="G180" s="266"/>
      <c r="H180" s="266"/>
      <c r="I180" s="266"/>
      <c r="J180" s="266"/>
      <c r="K180" s="266"/>
      <c r="L180" s="266"/>
      <c r="M180" s="266"/>
      <c r="N180" s="266"/>
    </row>
    <row r="181" spans="5:14" x14ac:dyDescent="0.3">
      <c r="E181" s="266"/>
      <c r="F181" s="266"/>
      <c r="G181" s="266"/>
      <c r="H181" s="266"/>
      <c r="I181" s="266"/>
      <c r="J181" s="266"/>
      <c r="K181" s="266"/>
      <c r="L181" s="266"/>
      <c r="M181" s="266"/>
      <c r="N181" s="266"/>
    </row>
    <row r="182" spans="5:14" x14ac:dyDescent="0.3">
      <c r="E182" s="266"/>
      <c r="F182" s="266"/>
      <c r="G182" s="266"/>
      <c r="H182" s="266"/>
      <c r="I182" s="266"/>
      <c r="J182" s="266"/>
      <c r="K182" s="266"/>
      <c r="L182" s="266"/>
      <c r="M182" s="266"/>
      <c r="N182" s="266"/>
    </row>
    <row r="183" spans="5:14" x14ac:dyDescent="0.3">
      <c r="E183" s="266"/>
      <c r="F183" s="266"/>
      <c r="G183" s="266"/>
      <c r="H183" s="266"/>
      <c r="I183" s="266"/>
      <c r="J183" s="266"/>
      <c r="K183" s="266"/>
      <c r="L183" s="266"/>
      <c r="M183" s="266"/>
      <c r="N183" s="266"/>
    </row>
    <row r="184" spans="5:14" x14ac:dyDescent="0.3">
      <c r="E184" s="266"/>
      <c r="F184" s="266"/>
      <c r="G184" s="266"/>
      <c r="H184" s="266"/>
      <c r="I184" s="266"/>
      <c r="J184" s="266"/>
      <c r="K184" s="266"/>
      <c r="L184" s="266"/>
      <c r="M184" s="266"/>
      <c r="N184" s="266"/>
    </row>
    <row r="185" spans="5:14" x14ac:dyDescent="0.3">
      <c r="E185" s="266"/>
      <c r="F185" s="266"/>
      <c r="G185" s="266"/>
      <c r="H185" s="266"/>
      <c r="I185" s="266"/>
      <c r="J185" s="266"/>
      <c r="K185" s="266"/>
      <c r="L185" s="266"/>
      <c r="M185" s="266"/>
      <c r="N185" s="266"/>
    </row>
    <row r="186" spans="5:14" x14ac:dyDescent="0.3">
      <c r="E186" s="266"/>
      <c r="F186" s="266"/>
      <c r="G186" s="266"/>
      <c r="H186" s="266"/>
      <c r="I186" s="266"/>
      <c r="J186" s="266"/>
      <c r="K186" s="266"/>
      <c r="L186" s="266"/>
      <c r="M186" s="266"/>
      <c r="N186" s="266"/>
    </row>
    <row r="187" spans="5:14" x14ac:dyDescent="0.3">
      <c r="E187" s="266"/>
      <c r="F187" s="266"/>
      <c r="G187" s="266"/>
      <c r="H187" s="266"/>
      <c r="I187" s="266"/>
      <c r="J187" s="266"/>
      <c r="K187" s="266"/>
      <c r="L187" s="266"/>
      <c r="M187" s="266"/>
      <c r="N187" s="266"/>
    </row>
    <row r="188" spans="5:14" x14ac:dyDescent="0.3">
      <c r="E188" s="266"/>
      <c r="F188" s="266"/>
      <c r="G188" s="266"/>
      <c r="H188" s="266"/>
      <c r="I188" s="266"/>
      <c r="J188" s="266"/>
      <c r="K188" s="266"/>
      <c r="L188" s="266"/>
      <c r="M188" s="266"/>
      <c r="N188" s="266"/>
    </row>
    <row r="189" spans="5:14" x14ac:dyDescent="0.3">
      <c r="E189" s="266"/>
      <c r="F189" s="266"/>
      <c r="G189" s="266"/>
      <c r="H189" s="266"/>
      <c r="I189" s="266"/>
      <c r="J189" s="266"/>
      <c r="K189" s="266"/>
      <c r="L189" s="266"/>
      <c r="M189" s="266"/>
      <c r="N189" s="266"/>
    </row>
    <row r="190" spans="5:14" x14ac:dyDescent="0.3">
      <c r="E190" s="266"/>
      <c r="F190" s="266"/>
      <c r="G190" s="266"/>
      <c r="H190" s="266"/>
      <c r="I190" s="266"/>
      <c r="J190" s="266"/>
      <c r="K190" s="266"/>
      <c r="L190" s="266"/>
      <c r="M190" s="266"/>
      <c r="N190" s="266"/>
    </row>
    <row r="191" spans="5:14" x14ac:dyDescent="0.3">
      <c r="E191" s="266"/>
      <c r="F191" s="266"/>
      <c r="G191" s="266"/>
      <c r="H191" s="266"/>
      <c r="I191" s="266"/>
      <c r="J191" s="266"/>
      <c r="K191" s="266"/>
      <c r="L191" s="266"/>
      <c r="M191" s="266"/>
      <c r="N191" s="266"/>
    </row>
    <row r="192" spans="5:14" x14ac:dyDescent="0.3">
      <c r="E192" s="266"/>
      <c r="F192" s="266"/>
      <c r="G192" s="266"/>
      <c r="H192" s="266"/>
      <c r="I192" s="266"/>
      <c r="J192" s="266"/>
      <c r="K192" s="266"/>
      <c r="L192" s="266"/>
      <c r="M192" s="266"/>
      <c r="N192" s="266"/>
    </row>
    <row r="193" spans="5:14" x14ac:dyDescent="0.3">
      <c r="E193" s="266"/>
      <c r="F193" s="266"/>
      <c r="G193" s="266"/>
      <c r="H193" s="266"/>
      <c r="I193" s="266"/>
      <c r="J193" s="266"/>
      <c r="K193" s="266"/>
      <c r="L193" s="266"/>
      <c r="M193" s="266"/>
      <c r="N193" s="266"/>
    </row>
    <row r="194" spans="5:14" x14ac:dyDescent="0.3">
      <c r="E194" s="266"/>
      <c r="F194" s="266"/>
      <c r="G194" s="266"/>
      <c r="H194" s="266"/>
      <c r="I194" s="266"/>
      <c r="J194" s="266"/>
      <c r="K194" s="266"/>
      <c r="L194" s="266"/>
      <c r="M194" s="266"/>
      <c r="N194" s="266"/>
    </row>
    <row r="195" spans="5:14" x14ac:dyDescent="0.3">
      <c r="E195" s="266"/>
      <c r="F195" s="266"/>
      <c r="G195" s="266"/>
      <c r="H195" s="266"/>
      <c r="I195" s="266"/>
      <c r="J195" s="266"/>
      <c r="K195" s="266"/>
      <c r="L195" s="266"/>
      <c r="M195" s="266"/>
      <c r="N195" s="266"/>
    </row>
    <row r="196" spans="5:14" x14ac:dyDescent="0.3">
      <c r="E196" s="266"/>
      <c r="F196" s="266"/>
      <c r="G196" s="266"/>
      <c r="H196" s="266"/>
      <c r="I196" s="266"/>
      <c r="J196" s="266"/>
      <c r="K196" s="266"/>
      <c r="L196" s="266"/>
      <c r="M196" s="266"/>
      <c r="N196" s="266"/>
    </row>
    <row r="197" spans="5:14" x14ac:dyDescent="0.3">
      <c r="E197" s="266"/>
      <c r="F197" s="266"/>
      <c r="G197" s="266"/>
      <c r="H197" s="266"/>
      <c r="I197" s="266"/>
      <c r="J197" s="266"/>
      <c r="K197" s="266"/>
      <c r="L197" s="266"/>
      <c r="M197" s="266"/>
      <c r="N197" s="266"/>
    </row>
    <row r="198" spans="5:14" x14ac:dyDescent="0.3">
      <c r="E198" s="266"/>
      <c r="F198" s="266"/>
      <c r="G198" s="266"/>
      <c r="H198" s="266"/>
      <c r="I198" s="266"/>
      <c r="J198" s="266"/>
      <c r="K198" s="266"/>
      <c r="L198" s="266"/>
      <c r="M198" s="266"/>
      <c r="N198" s="266"/>
    </row>
    <row r="199" spans="5:14" x14ac:dyDescent="0.3">
      <c r="E199" s="266"/>
      <c r="F199" s="266"/>
      <c r="G199" s="266"/>
      <c r="H199" s="266"/>
      <c r="I199" s="266"/>
      <c r="J199" s="266"/>
      <c r="K199" s="266"/>
      <c r="L199" s="266"/>
      <c r="M199" s="266"/>
      <c r="N199" s="266"/>
    </row>
    <row r="200" spans="5:14" x14ac:dyDescent="0.3">
      <c r="E200" s="266"/>
      <c r="F200" s="266"/>
      <c r="G200" s="266"/>
      <c r="H200" s="266"/>
      <c r="I200" s="266"/>
      <c r="J200" s="266"/>
      <c r="K200" s="266"/>
      <c r="L200" s="266"/>
      <c r="M200" s="266"/>
      <c r="N200" s="266"/>
    </row>
    <row r="201" spans="5:14" x14ac:dyDescent="0.3">
      <c r="E201" s="266"/>
      <c r="F201" s="266"/>
      <c r="G201" s="266"/>
      <c r="H201" s="266"/>
      <c r="I201" s="266"/>
      <c r="J201" s="266"/>
      <c r="K201" s="266"/>
      <c r="L201" s="266"/>
      <c r="M201" s="266"/>
      <c r="N201" s="266"/>
    </row>
    <row r="202" spans="5:14" x14ac:dyDescent="0.3">
      <c r="E202" s="266"/>
      <c r="F202" s="266"/>
      <c r="G202" s="266"/>
      <c r="H202" s="266"/>
      <c r="I202" s="266"/>
      <c r="J202" s="266"/>
      <c r="K202" s="266"/>
      <c r="L202" s="266"/>
      <c r="M202" s="266"/>
      <c r="N202" s="266"/>
    </row>
  </sheetData>
  <mergeCells count="35">
    <mergeCell ref="Z3:Z4"/>
    <mergeCell ref="AC3:AC4"/>
    <mergeCell ref="R2:AC2"/>
    <mergeCell ref="A2:A4"/>
    <mergeCell ref="B2:B4"/>
    <mergeCell ref="Q2:Q4"/>
    <mergeCell ref="P2:P4"/>
    <mergeCell ref="AA3:AB3"/>
    <mergeCell ref="X3:Y3"/>
    <mergeCell ref="N3:N4"/>
    <mergeCell ref="T3:T4"/>
    <mergeCell ref="W3:W4"/>
    <mergeCell ref="A59:Y61"/>
    <mergeCell ref="X57:Y57"/>
    <mergeCell ref="A57:B57"/>
    <mergeCell ref="C57:D57"/>
    <mergeCell ref="F57:G57"/>
    <mergeCell ref="P57:Q57"/>
    <mergeCell ref="R57:S57"/>
    <mergeCell ref="J63:K63"/>
    <mergeCell ref="L63:M63"/>
    <mergeCell ref="A56:B56"/>
    <mergeCell ref="P56:Q56"/>
    <mergeCell ref="A1:Y1"/>
    <mergeCell ref="C2:M2"/>
    <mergeCell ref="C3:D3"/>
    <mergeCell ref="F3:G3"/>
    <mergeCell ref="I3:J3"/>
    <mergeCell ref="E3:E4"/>
    <mergeCell ref="H3:H4"/>
    <mergeCell ref="K3:K4"/>
    <mergeCell ref="U57:V57"/>
    <mergeCell ref="L3:M3"/>
    <mergeCell ref="R3:S3"/>
    <mergeCell ref="U3:V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F6D6C-0E61-4753-B60B-447EAD6049AB}">
  <dimension ref="A1:W90"/>
  <sheetViews>
    <sheetView topLeftCell="A16" zoomScale="70" zoomScaleNormal="70" workbookViewId="0">
      <selection activeCell="S60" sqref="S60"/>
    </sheetView>
  </sheetViews>
  <sheetFormatPr defaultRowHeight="14" x14ac:dyDescent="0.3"/>
  <cols>
    <col min="1" max="1" width="30.83203125" style="1" bestFit="1" customWidth="1"/>
    <col min="2" max="2" width="16" style="1" bestFit="1" customWidth="1"/>
    <col min="3" max="3" width="8.6640625" style="1"/>
    <col min="4" max="4" width="36.5" style="1" bestFit="1" customWidth="1"/>
    <col min="5" max="5" width="15.33203125" style="1" customWidth="1"/>
    <col min="6" max="6" width="8.6640625" style="1"/>
    <col min="7" max="7" width="29" style="1" bestFit="1" customWidth="1"/>
    <col min="8" max="8" width="15.58203125" style="1" customWidth="1"/>
    <col min="9" max="9" width="8.6640625" style="1"/>
    <col min="10" max="10" width="29" style="1" bestFit="1" customWidth="1"/>
    <col min="11" max="11" width="15.08203125" style="1" customWidth="1"/>
    <col min="12" max="12" width="8.6640625" style="1"/>
    <col min="13" max="13" width="20.58203125" style="1" bestFit="1" customWidth="1"/>
    <col min="14" max="14" width="11" style="1" customWidth="1"/>
    <col min="15" max="15" width="10.9140625" style="1" customWidth="1"/>
    <col min="16" max="16" width="10.08203125" style="1" customWidth="1"/>
    <col min="17" max="17" width="11" style="1" customWidth="1"/>
    <col min="18" max="18" width="8.6640625" style="1"/>
    <col min="19" max="19" width="32.83203125" style="1" bestFit="1" customWidth="1"/>
    <col min="20" max="21" width="9.5" style="1" bestFit="1" customWidth="1"/>
    <col min="22" max="22" width="8.08203125" style="1" customWidth="1"/>
    <col min="23" max="16384" width="8.6640625" style="1"/>
  </cols>
  <sheetData>
    <row r="1" spans="1:23" s="5" customFormat="1" ht="26.5" customHeight="1" x14ac:dyDescent="0.4">
      <c r="A1" s="585" t="s">
        <v>77</v>
      </c>
      <c r="B1" s="585"/>
      <c r="C1" s="585"/>
      <c r="D1" s="585"/>
      <c r="E1" s="585"/>
      <c r="F1" s="585"/>
      <c r="G1" s="585"/>
      <c r="H1" s="585"/>
      <c r="I1" s="585"/>
      <c r="J1" s="585"/>
      <c r="K1" s="585"/>
      <c r="L1" s="585"/>
      <c r="M1" s="585"/>
      <c r="N1" s="585"/>
      <c r="O1" s="585"/>
      <c r="P1" s="585"/>
      <c r="Q1" s="585"/>
      <c r="R1" s="585"/>
      <c r="S1" s="585"/>
      <c r="T1" s="585"/>
      <c r="U1" s="585"/>
      <c r="V1" s="585"/>
      <c r="W1" s="585"/>
    </row>
    <row r="2" spans="1:23" x14ac:dyDescent="0.3">
      <c r="A2" s="227" t="s">
        <v>598</v>
      </c>
      <c r="B2" s="198" t="s">
        <v>677</v>
      </c>
      <c r="D2" s="227" t="s">
        <v>598</v>
      </c>
      <c r="E2" s="198" t="s">
        <v>677</v>
      </c>
      <c r="G2" s="227" t="s">
        <v>598</v>
      </c>
      <c r="H2" s="198" t="s">
        <v>677</v>
      </c>
      <c r="J2" s="227" t="s">
        <v>598</v>
      </c>
      <c r="K2" s="198" t="s">
        <v>677</v>
      </c>
      <c r="M2" s="198" t="s">
        <v>677</v>
      </c>
      <c r="N2" s="583" t="s">
        <v>672</v>
      </c>
      <c r="O2" s="583"/>
      <c r="P2" s="583" t="s">
        <v>673</v>
      </c>
      <c r="Q2" s="583"/>
      <c r="S2" s="233" t="s">
        <v>84</v>
      </c>
      <c r="T2" s="583" t="s">
        <v>672</v>
      </c>
      <c r="U2" s="583"/>
      <c r="V2" s="583" t="s">
        <v>673</v>
      </c>
      <c r="W2" s="583"/>
    </row>
    <row r="3" spans="1:23" x14ac:dyDescent="0.3">
      <c r="A3" s="227"/>
      <c r="B3" s="198"/>
      <c r="D3" s="227"/>
      <c r="E3" s="198"/>
      <c r="G3" s="227"/>
      <c r="H3" s="198"/>
      <c r="J3" s="227"/>
      <c r="K3" s="198"/>
      <c r="M3" s="228"/>
      <c r="N3" s="228" t="s">
        <v>674</v>
      </c>
      <c r="O3" s="228" t="s">
        <v>675</v>
      </c>
      <c r="P3" s="228" t="s">
        <v>674</v>
      </c>
      <c r="Q3" s="228" t="s">
        <v>675</v>
      </c>
      <c r="S3" s="228"/>
      <c r="T3" s="228" t="s">
        <v>674</v>
      </c>
      <c r="U3" s="228" t="s">
        <v>675</v>
      </c>
      <c r="V3" s="228" t="s">
        <v>674</v>
      </c>
      <c r="W3" s="228" t="s">
        <v>675</v>
      </c>
    </row>
    <row r="4" spans="1:23" x14ac:dyDescent="0.3">
      <c r="A4" s="227" t="s">
        <v>599</v>
      </c>
      <c r="B4" s="198" t="s">
        <v>678</v>
      </c>
      <c r="D4" s="227" t="s">
        <v>688</v>
      </c>
      <c r="E4" s="198" t="s">
        <v>689</v>
      </c>
      <c r="G4" s="227" t="s">
        <v>688</v>
      </c>
      <c r="H4" s="198" t="s">
        <v>689</v>
      </c>
      <c r="J4" s="227" t="s">
        <v>690</v>
      </c>
      <c r="K4" s="198" t="s">
        <v>691</v>
      </c>
      <c r="M4" s="227" t="s">
        <v>607</v>
      </c>
      <c r="N4" s="198">
        <v>37</v>
      </c>
      <c r="O4" s="198">
        <v>37</v>
      </c>
      <c r="P4" s="198">
        <v>36</v>
      </c>
      <c r="Q4" s="198">
        <v>36</v>
      </c>
      <c r="S4" s="227" t="s">
        <v>603</v>
      </c>
      <c r="T4" s="198"/>
      <c r="U4" s="198"/>
      <c r="V4" s="198"/>
      <c r="W4" s="198"/>
    </row>
    <row r="5" spans="1:23" x14ac:dyDescent="0.3">
      <c r="A5" s="227" t="s">
        <v>61</v>
      </c>
      <c r="B5" s="198" t="s">
        <v>61</v>
      </c>
      <c r="D5" s="227" t="s">
        <v>61</v>
      </c>
      <c r="E5" s="198" t="s">
        <v>61</v>
      </c>
      <c r="G5" s="227" t="s">
        <v>61</v>
      </c>
      <c r="H5" s="198" t="s">
        <v>61</v>
      </c>
      <c r="J5" s="227" t="s">
        <v>61</v>
      </c>
      <c r="K5" s="198" t="s">
        <v>61</v>
      </c>
      <c r="M5" s="227"/>
      <c r="N5" s="198"/>
      <c r="O5" s="198"/>
      <c r="P5" s="198"/>
      <c r="Q5" s="198"/>
      <c r="S5" s="227" t="s">
        <v>604</v>
      </c>
      <c r="T5" s="198"/>
      <c r="U5" s="198"/>
      <c r="V5" s="198"/>
      <c r="W5" s="198"/>
    </row>
    <row r="6" spans="1:23" x14ac:dyDescent="0.3">
      <c r="A6" s="227" t="s">
        <v>601</v>
      </c>
      <c r="B6" s="198" t="s">
        <v>679</v>
      </c>
      <c r="D6" s="227" t="s">
        <v>690</v>
      </c>
      <c r="E6" s="198" t="s">
        <v>691</v>
      </c>
      <c r="G6" s="227" t="s">
        <v>599</v>
      </c>
      <c r="H6" s="198" t="s">
        <v>678</v>
      </c>
      <c r="J6" s="227" t="s">
        <v>601</v>
      </c>
      <c r="K6" s="198" t="s">
        <v>679</v>
      </c>
      <c r="M6" s="227" t="s">
        <v>62</v>
      </c>
      <c r="N6" s="198">
        <v>2.653</v>
      </c>
      <c r="O6" s="198">
        <v>0</v>
      </c>
      <c r="P6" s="198">
        <v>3.2109999999999999</v>
      </c>
      <c r="Q6" s="198">
        <v>0</v>
      </c>
      <c r="S6" s="227" t="s">
        <v>605</v>
      </c>
      <c r="T6" s="198">
        <v>0.73809999999999998</v>
      </c>
      <c r="U6" s="198">
        <v>0.57410000000000005</v>
      </c>
      <c r="V6" s="198">
        <v>0.627</v>
      </c>
      <c r="W6" s="198">
        <v>0.66069999999999995</v>
      </c>
    </row>
    <row r="7" spans="1:23" x14ac:dyDescent="0.3">
      <c r="A7" s="227"/>
      <c r="B7" s="198"/>
      <c r="D7" s="227"/>
      <c r="E7" s="198"/>
      <c r="G7" s="227"/>
      <c r="H7" s="198"/>
      <c r="J7" s="227"/>
      <c r="K7" s="198"/>
      <c r="M7" s="227" t="s">
        <v>637</v>
      </c>
      <c r="N7" s="198">
        <v>23.94</v>
      </c>
      <c r="O7" s="198">
        <v>0</v>
      </c>
      <c r="P7" s="198">
        <v>22.53</v>
      </c>
      <c r="Q7" s="198">
        <v>0</v>
      </c>
      <c r="S7" s="227" t="s">
        <v>583</v>
      </c>
      <c r="T7" s="198" t="s">
        <v>63</v>
      </c>
      <c r="U7" s="198" t="s">
        <v>63</v>
      </c>
      <c r="V7" s="198" t="s">
        <v>63</v>
      </c>
      <c r="W7" s="198" t="s">
        <v>63</v>
      </c>
    </row>
    <row r="8" spans="1:23" x14ac:dyDescent="0.3">
      <c r="A8" s="227" t="s">
        <v>680</v>
      </c>
      <c r="B8" s="198"/>
      <c r="D8" s="227" t="s">
        <v>680</v>
      </c>
      <c r="E8" s="198"/>
      <c r="G8" s="227" t="s">
        <v>582</v>
      </c>
      <c r="H8" s="198"/>
      <c r="J8" s="227" t="s">
        <v>582</v>
      </c>
      <c r="K8" s="198"/>
      <c r="M8" s="227" t="s">
        <v>7</v>
      </c>
      <c r="N8" s="198">
        <v>54.25</v>
      </c>
      <c r="O8" s="198">
        <v>15.61</v>
      </c>
      <c r="P8" s="198">
        <v>63.73</v>
      </c>
      <c r="Q8" s="198">
        <v>13.84</v>
      </c>
      <c r="S8" s="227" t="s">
        <v>606</v>
      </c>
      <c r="T8" s="198" t="s">
        <v>25</v>
      </c>
      <c r="U8" s="198" t="s">
        <v>25</v>
      </c>
      <c r="V8" s="198" t="s">
        <v>25</v>
      </c>
      <c r="W8" s="198" t="s">
        <v>25</v>
      </c>
    </row>
    <row r="9" spans="1:23" x14ac:dyDescent="0.3">
      <c r="A9" s="227" t="s">
        <v>583</v>
      </c>
      <c r="B9" s="198">
        <v>0.14910000000000001</v>
      </c>
      <c r="D9" s="227" t="s">
        <v>583</v>
      </c>
      <c r="E9" s="198" t="s">
        <v>63</v>
      </c>
      <c r="G9" s="227" t="s">
        <v>583</v>
      </c>
      <c r="H9" s="198">
        <v>0.71970000000000001</v>
      </c>
      <c r="J9" s="227" t="s">
        <v>583</v>
      </c>
      <c r="K9" s="198">
        <v>0.79659999999999997</v>
      </c>
      <c r="M9" s="227" t="s">
        <v>638</v>
      </c>
      <c r="N9" s="198">
        <v>119.6</v>
      </c>
      <c r="O9" s="198">
        <v>87.74</v>
      </c>
      <c r="P9" s="198">
        <v>142.6</v>
      </c>
      <c r="Q9" s="198">
        <v>43.14</v>
      </c>
      <c r="S9" s="227" t="s">
        <v>585</v>
      </c>
      <c r="T9" s="198" t="s">
        <v>65</v>
      </c>
      <c r="U9" s="198" t="s">
        <v>65</v>
      </c>
      <c r="V9" s="198" t="s">
        <v>65</v>
      </c>
      <c r="W9" s="198" t="s">
        <v>65</v>
      </c>
    </row>
    <row r="10" spans="1:23" x14ac:dyDescent="0.3">
      <c r="A10" s="227" t="s">
        <v>584</v>
      </c>
      <c r="B10" s="198" t="s">
        <v>67</v>
      </c>
      <c r="D10" s="227" t="s">
        <v>584</v>
      </c>
      <c r="E10" s="198" t="s">
        <v>67</v>
      </c>
      <c r="G10" s="227" t="s">
        <v>584</v>
      </c>
      <c r="H10" s="198" t="s">
        <v>67</v>
      </c>
      <c r="J10" s="227" t="s">
        <v>584</v>
      </c>
      <c r="K10" s="198" t="s">
        <v>67</v>
      </c>
      <c r="M10" s="227" t="s">
        <v>66</v>
      </c>
      <c r="N10" s="198">
        <v>489.6</v>
      </c>
      <c r="O10" s="198">
        <v>814.1</v>
      </c>
      <c r="P10" s="198">
        <v>791.7</v>
      </c>
      <c r="Q10" s="198">
        <v>301</v>
      </c>
      <c r="S10" s="227"/>
      <c r="T10" s="198"/>
      <c r="U10" s="198"/>
      <c r="V10" s="198"/>
      <c r="W10" s="198"/>
    </row>
    <row r="11" spans="1:23" x14ac:dyDescent="0.3">
      <c r="A11" s="227" t="s">
        <v>585</v>
      </c>
      <c r="B11" s="198" t="s">
        <v>70</v>
      </c>
      <c r="D11" s="227" t="s">
        <v>585</v>
      </c>
      <c r="E11" s="198" t="s">
        <v>65</v>
      </c>
      <c r="G11" s="227" t="s">
        <v>585</v>
      </c>
      <c r="H11" s="198" t="s">
        <v>70</v>
      </c>
      <c r="J11" s="227" t="s">
        <v>585</v>
      </c>
      <c r="K11" s="198" t="s">
        <v>70</v>
      </c>
      <c r="M11" s="227" t="s">
        <v>68</v>
      </c>
      <c r="N11" s="198">
        <v>487</v>
      </c>
      <c r="O11" s="198">
        <v>814.1</v>
      </c>
      <c r="P11" s="198">
        <v>788.5</v>
      </c>
      <c r="Q11" s="198">
        <v>301</v>
      </c>
      <c r="S11" s="227" t="s">
        <v>607</v>
      </c>
      <c r="T11" s="198">
        <v>37</v>
      </c>
      <c r="U11" s="198">
        <v>37</v>
      </c>
      <c r="V11" s="198">
        <v>36</v>
      </c>
      <c r="W11" s="198">
        <v>36</v>
      </c>
    </row>
    <row r="12" spans="1:23" x14ac:dyDescent="0.3">
      <c r="A12" s="227" t="s">
        <v>586</v>
      </c>
      <c r="B12" s="198" t="s">
        <v>25</v>
      </c>
      <c r="D12" s="227" t="s">
        <v>586</v>
      </c>
      <c r="E12" s="198" t="s">
        <v>71</v>
      </c>
      <c r="G12" s="227" t="s">
        <v>586</v>
      </c>
      <c r="H12" s="198" t="s">
        <v>25</v>
      </c>
      <c r="J12" s="227" t="s">
        <v>586</v>
      </c>
      <c r="K12" s="198" t="s">
        <v>25</v>
      </c>
      <c r="M12" s="227"/>
      <c r="N12" s="198"/>
      <c r="O12" s="198"/>
      <c r="P12" s="198"/>
      <c r="Q12" s="198"/>
    </row>
    <row r="13" spans="1:23" x14ac:dyDescent="0.3">
      <c r="A13" s="227" t="s">
        <v>587</v>
      </c>
      <c r="B13" s="198" t="s">
        <v>72</v>
      </c>
      <c r="D13" s="227" t="s">
        <v>587</v>
      </c>
      <c r="E13" s="198" t="s">
        <v>72</v>
      </c>
      <c r="G13" s="227" t="s">
        <v>587</v>
      </c>
      <c r="H13" s="198" t="s">
        <v>72</v>
      </c>
      <c r="J13" s="227" t="s">
        <v>587</v>
      </c>
      <c r="K13" s="198" t="s">
        <v>72</v>
      </c>
      <c r="M13" s="227" t="s">
        <v>639</v>
      </c>
      <c r="N13" s="198"/>
      <c r="O13" s="198"/>
      <c r="P13" s="198"/>
      <c r="Q13" s="198"/>
    </row>
    <row r="14" spans="1:23" x14ac:dyDescent="0.3">
      <c r="A14" s="227" t="s">
        <v>681</v>
      </c>
      <c r="B14" s="198" t="s">
        <v>682</v>
      </c>
      <c r="D14" s="227" t="s">
        <v>681</v>
      </c>
      <c r="E14" s="198" t="s">
        <v>692</v>
      </c>
      <c r="G14" s="227" t="s">
        <v>693</v>
      </c>
      <c r="H14" s="198" t="s">
        <v>694</v>
      </c>
      <c r="J14" s="227" t="s">
        <v>698</v>
      </c>
      <c r="K14" s="198" t="s">
        <v>699</v>
      </c>
      <c r="M14" s="227" t="s">
        <v>640</v>
      </c>
      <c r="N14" s="198" t="s">
        <v>676</v>
      </c>
      <c r="O14" s="198" t="s">
        <v>676</v>
      </c>
      <c r="P14" s="198" t="s">
        <v>79</v>
      </c>
      <c r="Q14" s="198" t="s">
        <v>79</v>
      </c>
    </row>
    <row r="15" spans="1:23" x14ac:dyDescent="0.3">
      <c r="A15" s="227" t="s">
        <v>683</v>
      </c>
      <c r="B15" s="198">
        <v>-193</v>
      </c>
      <c r="D15" s="227" t="s">
        <v>683</v>
      </c>
      <c r="E15" s="198">
        <v>-470</v>
      </c>
      <c r="G15" s="227" t="s">
        <v>590</v>
      </c>
      <c r="H15" s="198">
        <v>633.5</v>
      </c>
      <c r="J15" s="227" t="s">
        <v>590</v>
      </c>
      <c r="K15" s="198">
        <v>642</v>
      </c>
      <c r="M15" s="227" t="s">
        <v>643</v>
      </c>
      <c r="N15" s="198">
        <v>28.91</v>
      </c>
      <c r="O15" s="198">
        <v>3.3260000000000001</v>
      </c>
      <c r="P15" s="198">
        <v>46.03</v>
      </c>
      <c r="Q15" s="198">
        <v>1.998</v>
      </c>
    </row>
    <row r="16" spans="1:23" x14ac:dyDescent="0.3">
      <c r="A16" s="227" t="s">
        <v>684</v>
      </c>
      <c r="B16" s="198">
        <v>37</v>
      </c>
      <c r="D16" s="227" t="s">
        <v>684</v>
      </c>
      <c r="E16" s="198">
        <v>36</v>
      </c>
      <c r="G16" s="227"/>
      <c r="H16" s="198"/>
      <c r="J16" s="227"/>
      <c r="K16" s="198"/>
      <c r="M16" s="227" t="s">
        <v>644</v>
      </c>
      <c r="N16" s="198">
        <v>91.15</v>
      </c>
      <c r="O16" s="198">
        <v>25.03</v>
      </c>
      <c r="P16" s="198">
        <v>90.92</v>
      </c>
      <c r="Q16" s="198">
        <v>34.74</v>
      </c>
    </row>
    <row r="17" spans="1:23" x14ac:dyDescent="0.3">
      <c r="A17" s="227" t="s">
        <v>685</v>
      </c>
      <c r="B17" s="198">
        <v>0</v>
      </c>
      <c r="D17" s="227" t="s">
        <v>685</v>
      </c>
      <c r="E17" s="198">
        <v>0</v>
      </c>
      <c r="G17" s="227" t="s">
        <v>591</v>
      </c>
      <c r="H17" s="198"/>
      <c r="J17" s="227" t="s">
        <v>591</v>
      </c>
      <c r="K17" s="198"/>
      <c r="M17" s="227"/>
      <c r="N17" s="198"/>
      <c r="O17" s="198"/>
      <c r="P17" s="198"/>
      <c r="Q17" s="198"/>
    </row>
    <row r="18" spans="1:23" x14ac:dyDescent="0.3">
      <c r="A18" s="227"/>
      <c r="B18" s="198"/>
      <c r="D18" s="227"/>
      <c r="E18" s="198"/>
      <c r="G18" s="227" t="s">
        <v>594</v>
      </c>
      <c r="H18" s="198" t="s">
        <v>695</v>
      </c>
      <c r="J18" s="227" t="s">
        <v>592</v>
      </c>
      <c r="K18" s="198" t="s">
        <v>700</v>
      </c>
      <c r="M18" s="227" t="s">
        <v>73</v>
      </c>
      <c r="N18" s="198">
        <v>94.97</v>
      </c>
      <c r="O18" s="198">
        <v>84.7</v>
      </c>
      <c r="P18" s="198">
        <v>107.7</v>
      </c>
      <c r="Q18" s="198">
        <v>41.3</v>
      </c>
    </row>
    <row r="19" spans="1:23" x14ac:dyDescent="0.3">
      <c r="A19" s="227" t="s">
        <v>686</v>
      </c>
      <c r="B19" s="198"/>
      <c r="D19" s="227" t="s">
        <v>686</v>
      </c>
      <c r="E19" s="198"/>
      <c r="G19" s="227" t="s">
        <v>696</v>
      </c>
      <c r="H19" s="198" t="s">
        <v>697</v>
      </c>
      <c r="J19" s="227" t="s">
        <v>701</v>
      </c>
      <c r="K19" s="198" t="s">
        <v>702</v>
      </c>
      <c r="M19" s="227" t="s">
        <v>645</v>
      </c>
      <c r="N19" s="198">
        <v>111.5</v>
      </c>
      <c r="O19" s="198">
        <v>166.3</v>
      </c>
      <c r="P19" s="198">
        <v>145.5</v>
      </c>
      <c r="Q19" s="198">
        <v>67.569999999999993</v>
      </c>
    </row>
    <row r="20" spans="1:23" x14ac:dyDescent="0.3">
      <c r="A20" s="227" t="s">
        <v>687</v>
      </c>
      <c r="B20" s="198">
        <v>-26.89</v>
      </c>
      <c r="D20" s="227" t="s">
        <v>687</v>
      </c>
      <c r="E20" s="198">
        <v>-45.12</v>
      </c>
      <c r="G20" s="227" t="s">
        <v>596</v>
      </c>
      <c r="H20" s="198">
        <v>-1.768</v>
      </c>
      <c r="J20" s="227" t="s">
        <v>596</v>
      </c>
      <c r="K20" s="198">
        <v>9.4770000000000003</v>
      </c>
      <c r="M20" s="227" t="s">
        <v>646</v>
      </c>
      <c r="N20" s="198">
        <v>18.329999999999998</v>
      </c>
      <c r="O20" s="198">
        <v>27.34</v>
      </c>
      <c r="P20" s="198">
        <v>24.24</v>
      </c>
      <c r="Q20" s="198">
        <v>11.26</v>
      </c>
    </row>
    <row r="21" spans="1:23" x14ac:dyDescent="0.3">
      <c r="A21" s="38"/>
      <c r="B21" s="34"/>
      <c r="C21" s="34"/>
      <c r="D21" s="34"/>
      <c r="E21" s="34"/>
      <c r="G21" s="227" t="s">
        <v>597</v>
      </c>
      <c r="H21" s="198">
        <v>0</v>
      </c>
      <c r="J21" s="227" t="s">
        <v>597</v>
      </c>
      <c r="K21" s="198">
        <v>3.16</v>
      </c>
    </row>
    <row r="22" spans="1:23" x14ac:dyDescent="0.3">
      <c r="A22" s="38"/>
      <c r="B22" s="34"/>
      <c r="C22" s="34"/>
      <c r="D22" s="34"/>
      <c r="E22" s="34"/>
      <c r="G22" s="38"/>
      <c r="H22" s="34"/>
      <c r="J22" s="18"/>
      <c r="K22" s="10"/>
    </row>
    <row r="24" spans="1:23" ht="28" customHeight="1" x14ac:dyDescent="0.4">
      <c r="A24" s="584" t="s">
        <v>80</v>
      </c>
      <c r="B24" s="584"/>
      <c r="C24" s="584"/>
      <c r="D24" s="584"/>
      <c r="E24" s="584"/>
      <c r="F24" s="584"/>
      <c r="G24" s="584"/>
      <c r="H24" s="584"/>
      <c r="I24" s="584"/>
      <c r="J24" s="584"/>
      <c r="K24" s="584"/>
      <c r="L24" s="584"/>
      <c r="M24" s="584"/>
      <c r="N24" s="584"/>
      <c r="O24" s="584"/>
      <c r="P24" s="584"/>
      <c r="Q24" s="584"/>
      <c r="S24" s="18"/>
      <c r="T24" s="234"/>
      <c r="U24" s="234"/>
      <c r="V24" s="234"/>
      <c r="W24" s="234"/>
    </row>
    <row r="25" spans="1:23" x14ac:dyDescent="0.3">
      <c r="A25" s="227" t="s">
        <v>598</v>
      </c>
      <c r="B25" s="198" t="s">
        <v>755</v>
      </c>
      <c r="D25" s="227" t="s">
        <v>598</v>
      </c>
      <c r="E25" s="198" t="s">
        <v>755</v>
      </c>
      <c r="G25" s="227" t="s">
        <v>598</v>
      </c>
      <c r="H25" s="198" t="s">
        <v>755</v>
      </c>
      <c r="J25" s="227" t="s">
        <v>598</v>
      </c>
      <c r="K25" s="198" t="s">
        <v>755</v>
      </c>
      <c r="M25" s="198" t="s">
        <v>755</v>
      </c>
      <c r="N25" s="583" t="s">
        <v>672</v>
      </c>
      <c r="O25" s="583"/>
      <c r="P25" s="583" t="s">
        <v>703</v>
      </c>
      <c r="Q25" s="583"/>
      <c r="S25" s="228"/>
      <c r="T25" s="583" t="s">
        <v>672</v>
      </c>
      <c r="U25" s="583"/>
      <c r="V25" s="583" t="s">
        <v>703</v>
      </c>
      <c r="W25" s="583"/>
    </row>
    <row r="26" spans="1:23" x14ac:dyDescent="0.3">
      <c r="A26" s="227"/>
      <c r="B26" s="198"/>
      <c r="D26" s="227"/>
      <c r="E26" s="198"/>
      <c r="G26" s="227"/>
      <c r="H26" s="198"/>
      <c r="J26" s="227"/>
      <c r="K26" s="198"/>
      <c r="M26" s="228"/>
      <c r="N26" s="228" t="s">
        <v>674</v>
      </c>
      <c r="O26" s="228" t="s">
        <v>675</v>
      </c>
      <c r="P26" s="228" t="s">
        <v>674</v>
      </c>
      <c r="Q26" s="228" t="s">
        <v>675</v>
      </c>
      <c r="S26" s="228"/>
      <c r="T26" s="228" t="s">
        <v>674</v>
      </c>
      <c r="U26" s="228" t="s">
        <v>675</v>
      </c>
      <c r="V26" s="228" t="s">
        <v>674</v>
      </c>
      <c r="W26" s="228" t="s">
        <v>675</v>
      </c>
    </row>
    <row r="27" spans="1:23" x14ac:dyDescent="0.3">
      <c r="A27" s="227" t="s">
        <v>599</v>
      </c>
      <c r="B27" s="198" t="s">
        <v>678</v>
      </c>
      <c r="D27" s="227" t="s">
        <v>688</v>
      </c>
      <c r="E27" s="198" t="s">
        <v>689</v>
      </c>
      <c r="G27" s="227" t="s">
        <v>688</v>
      </c>
      <c r="H27" s="198" t="s">
        <v>689</v>
      </c>
      <c r="J27" s="227" t="s">
        <v>690</v>
      </c>
      <c r="K27" s="198" t="s">
        <v>691</v>
      </c>
      <c r="M27" s="227" t="s">
        <v>607</v>
      </c>
      <c r="N27" s="198">
        <v>47</v>
      </c>
      <c r="O27" s="198">
        <v>47</v>
      </c>
      <c r="P27" s="198">
        <v>50</v>
      </c>
      <c r="Q27" s="198">
        <v>50</v>
      </c>
      <c r="S27" s="227" t="s">
        <v>603</v>
      </c>
      <c r="T27" s="198"/>
      <c r="U27" s="198"/>
      <c r="V27" s="198"/>
      <c r="W27" s="198"/>
    </row>
    <row r="28" spans="1:23" x14ac:dyDescent="0.3">
      <c r="A28" s="227" t="s">
        <v>61</v>
      </c>
      <c r="B28" s="198" t="s">
        <v>61</v>
      </c>
      <c r="D28" s="227" t="s">
        <v>61</v>
      </c>
      <c r="E28" s="198" t="s">
        <v>61</v>
      </c>
      <c r="G28" s="227" t="s">
        <v>61</v>
      </c>
      <c r="H28" s="198" t="s">
        <v>61</v>
      </c>
      <c r="J28" s="227" t="s">
        <v>61</v>
      </c>
      <c r="K28" s="198" t="s">
        <v>61</v>
      </c>
      <c r="M28" s="227"/>
      <c r="N28" s="198"/>
      <c r="O28" s="198"/>
      <c r="P28" s="198"/>
      <c r="Q28" s="198"/>
      <c r="S28" s="227" t="s">
        <v>604</v>
      </c>
      <c r="T28" s="198"/>
      <c r="U28" s="198"/>
      <c r="V28" s="198"/>
      <c r="W28" s="198"/>
    </row>
    <row r="29" spans="1:23" x14ac:dyDescent="0.3">
      <c r="A29" s="227" t="s">
        <v>601</v>
      </c>
      <c r="B29" s="198" t="s">
        <v>705</v>
      </c>
      <c r="D29" s="227" t="s">
        <v>690</v>
      </c>
      <c r="E29" s="198" t="s">
        <v>691</v>
      </c>
      <c r="G29" s="227" t="s">
        <v>599</v>
      </c>
      <c r="H29" s="198" t="s">
        <v>678</v>
      </c>
      <c r="J29" s="227" t="s">
        <v>601</v>
      </c>
      <c r="K29" s="198" t="s">
        <v>705</v>
      </c>
      <c r="M29" s="227" t="s">
        <v>62</v>
      </c>
      <c r="N29" s="198">
        <v>8.73</v>
      </c>
      <c r="O29" s="198">
        <v>0</v>
      </c>
      <c r="P29" s="198">
        <v>54.93</v>
      </c>
      <c r="Q29" s="198">
        <v>0</v>
      </c>
      <c r="S29" s="227" t="s">
        <v>605</v>
      </c>
      <c r="T29" s="198">
        <v>0.90820000000000001</v>
      </c>
      <c r="U29" s="198">
        <v>0.86209999999999998</v>
      </c>
      <c r="V29" s="198">
        <v>0.91169999999999995</v>
      </c>
      <c r="W29" s="198">
        <v>0.88739999999999997</v>
      </c>
    </row>
    <row r="30" spans="1:23" x14ac:dyDescent="0.3">
      <c r="A30" s="227"/>
      <c r="B30" s="198"/>
      <c r="D30" s="227"/>
      <c r="E30" s="198"/>
      <c r="G30" s="227"/>
      <c r="H30" s="198"/>
      <c r="J30" s="227"/>
      <c r="K30" s="198"/>
      <c r="M30" s="227" t="s">
        <v>637</v>
      </c>
      <c r="N30" s="198">
        <v>170.5</v>
      </c>
      <c r="O30" s="198">
        <v>132.4</v>
      </c>
      <c r="P30" s="198">
        <v>392.7</v>
      </c>
      <c r="Q30" s="198">
        <v>199.1</v>
      </c>
      <c r="S30" s="227" t="s">
        <v>583</v>
      </c>
      <c r="T30" s="198">
        <v>1.2999999999999999E-3</v>
      </c>
      <c r="U30" s="198" t="s">
        <v>63</v>
      </c>
      <c r="V30" s="198">
        <v>1.1999999999999999E-3</v>
      </c>
      <c r="W30" s="198">
        <v>2.0000000000000001E-4</v>
      </c>
    </row>
    <row r="31" spans="1:23" x14ac:dyDescent="0.3">
      <c r="A31" s="227" t="s">
        <v>680</v>
      </c>
      <c r="B31" s="198"/>
      <c r="D31" s="227" t="s">
        <v>680</v>
      </c>
      <c r="E31" s="198"/>
      <c r="G31" s="227" t="s">
        <v>582</v>
      </c>
      <c r="H31" s="198"/>
      <c r="J31" s="227" t="s">
        <v>582</v>
      </c>
      <c r="K31" s="198"/>
      <c r="M31" s="227" t="s">
        <v>7</v>
      </c>
      <c r="N31" s="198">
        <v>547.1</v>
      </c>
      <c r="O31" s="198">
        <v>480.3</v>
      </c>
      <c r="P31" s="198">
        <v>655.1</v>
      </c>
      <c r="Q31" s="198">
        <v>452.6</v>
      </c>
      <c r="S31" s="227" t="s">
        <v>606</v>
      </c>
      <c r="T31" s="198" t="s">
        <v>25</v>
      </c>
      <c r="U31" s="198" t="s">
        <v>25</v>
      </c>
      <c r="V31" s="198" t="s">
        <v>25</v>
      </c>
      <c r="W31" s="198" t="s">
        <v>25</v>
      </c>
    </row>
    <row r="32" spans="1:23" x14ac:dyDescent="0.3">
      <c r="A32" s="227" t="s">
        <v>583</v>
      </c>
      <c r="B32" s="198">
        <v>0.6109</v>
      </c>
      <c r="D32" s="227" t="s">
        <v>583</v>
      </c>
      <c r="E32" s="198">
        <v>9.4000000000000004E-3</v>
      </c>
      <c r="G32" s="227" t="s">
        <v>583</v>
      </c>
      <c r="H32" s="198">
        <v>0.85309999999999997</v>
      </c>
      <c r="J32" s="227" t="s">
        <v>583</v>
      </c>
      <c r="K32" s="198">
        <v>9.3399999999999997E-2</v>
      </c>
      <c r="M32" s="227" t="s">
        <v>638</v>
      </c>
      <c r="N32" s="198">
        <v>733.2</v>
      </c>
      <c r="O32" s="198">
        <v>748</v>
      </c>
      <c r="P32" s="198">
        <v>757.4</v>
      </c>
      <c r="Q32" s="198">
        <v>759</v>
      </c>
      <c r="S32" s="227" t="s">
        <v>585</v>
      </c>
      <c r="T32" s="198" t="s">
        <v>74</v>
      </c>
      <c r="U32" s="198" t="s">
        <v>65</v>
      </c>
      <c r="V32" s="198" t="s">
        <v>74</v>
      </c>
      <c r="W32" s="198" t="s">
        <v>64</v>
      </c>
    </row>
    <row r="33" spans="1:23" x14ac:dyDescent="0.3">
      <c r="A33" s="227" t="s">
        <v>584</v>
      </c>
      <c r="B33" s="198" t="s">
        <v>67</v>
      </c>
      <c r="D33" s="227" t="s">
        <v>584</v>
      </c>
      <c r="E33" s="198" t="s">
        <v>67</v>
      </c>
      <c r="G33" s="227" t="s">
        <v>584</v>
      </c>
      <c r="H33" s="198" t="s">
        <v>67</v>
      </c>
      <c r="J33" s="227" t="s">
        <v>584</v>
      </c>
      <c r="K33" s="198" t="s">
        <v>67</v>
      </c>
      <c r="M33" s="227" t="s">
        <v>66</v>
      </c>
      <c r="N33" s="198">
        <v>1858</v>
      </c>
      <c r="O33" s="198">
        <v>2091</v>
      </c>
      <c r="P33" s="198">
        <v>1840</v>
      </c>
      <c r="Q33" s="198">
        <v>2262</v>
      </c>
      <c r="S33" s="227"/>
      <c r="T33" s="198"/>
      <c r="U33" s="198"/>
      <c r="V33" s="198"/>
      <c r="W33" s="198"/>
    </row>
    <row r="34" spans="1:23" x14ac:dyDescent="0.3">
      <c r="A34" s="227" t="s">
        <v>585</v>
      </c>
      <c r="B34" s="198" t="s">
        <v>70</v>
      </c>
      <c r="D34" s="227" t="s">
        <v>585</v>
      </c>
      <c r="E34" s="198" t="s">
        <v>74</v>
      </c>
      <c r="G34" s="227" t="s">
        <v>585</v>
      </c>
      <c r="H34" s="198" t="s">
        <v>70</v>
      </c>
      <c r="J34" s="227" t="s">
        <v>585</v>
      </c>
      <c r="K34" s="198" t="s">
        <v>70</v>
      </c>
      <c r="M34" s="227" t="s">
        <v>68</v>
      </c>
      <c r="N34" s="198">
        <v>1850</v>
      </c>
      <c r="O34" s="198">
        <v>2091</v>
      </c>
      <c r="P34" s="198">
        <v>1785</v>
      </c>
      <c r="Q34" s="198">
        <v>2262</v>
      </c>
      <c r="S34" s="227" t="s">
        <v>607</v>
      </c>
      <c r="T34" s="198">
        <v>47</v>
      </c>
      <c r="U34" s="198">
        <v>47</v>
      </c>
      <c r="V34" s="198">
        <v>50</v>
      </c>
      <c r="W34" s="198">
        <v>50</v>
      </c>
    </row>
    <row r="35" spans="1:23" x14ac:dyDescent="0.3">
      <c r="A35" s="227" t="s">
        <v>586</v>
      </c>
      <c r="B35" s="198" t="s">
        <v>25</v>
      </c>
      <c r="D35" s="227" t="s">
        <v>586</v>
      </c>
      <c r="E35" s="198" t="s">
        <v>71</v>
      </c>
      <c r="G35" s="227" t="s">
        <v>586</v>
      </c>
      <c r="H35" s="198" t="s">
        <v>25</v>
      </c>
      <c r="J35" s="227" t="s">
        <v>586</v>
      </c>
      <c r="K35" s="198" t="s">
        <v>25</v>
      </c>
      <c r="M35" s="227"/>
      <c r="N35" s="198"/>
      <c r="O35" s="198"/>
      <c r="P35" s="198"/>
      <c r="Q35" s="198"/>
    </row>
    <row r="36" spans="1:23" x14ac:dyDescent="0.3">
      <c r="A36" s="227" t="s">
        <v>587</v>
      </c>
      <c r="B36" s="198" t="s">
        <v>72</v>
      </c>
      <c r="D36" s="227" t="s">
        <v>587</v>
      </c>
      <c r="E36" s="198" t="s">
        <v>72</v>
      </c>
      <c r="G36" s="227" t="s">
        <v>587</v>
      </c>
      <c r="H36" s="198" t="s">
        <v>72</v>
      </c>
      <c r="J36" s="227" t="s">
        <v>587</v>
      </c>
      <c r="K36" s="198" t="s">
        <v>72</v>
      </c>
      <c r="M36" s="227" t="s">
        <v>639</v>
      </c>
      <c r="N36" s="198"/>
      <c r="O36" s="198"/>
      <c r="P36" s="198"/>
      <c r="Q36" s="198"/>
    </row>
    <row r="37" spans="1:23" x14ac:dyDescent="0.3">
      <c r="A37" s="227" t="s">
        <v>681</v>
      </c>
      <c r="B37" s="198" t="s">
        <v>706</v>
      </c>
      <c r="D37" s="227" t="s">
        <v>681</v>
      </c>
      <c r="E37" s="198" t="s">
        <v>707</v>
      </c>
      <c r="G37" s="227" t="s">
        <v>693</v>
      </c>
      <c r="H37" s="198" t="s">
        <v>708</v>
      </c>
      <c r="J37" s="227" t="s">
        <v>698</v>
      </c>
      <c r="K37" s="198" t="s">
        <v>711</v>
      </c>
      <c r="M37" s="227" t="s">
        <v>640</v>
      </c>
      <c r="N37" s="198" t="s">
        <v>704</v>
      </c>
      <c r="O37" s="198" t="s">
        <v>704</v>
      </c>
      <c r="P37" s="198" t="s">
        <v>641</v>
      </c>
      <c r="Q37" s="198" t="s">
        <v>641</v>
      </c>
    </row>
    <row r="38" spans="1:23" x14ac:dyDescent="0.3">
      <c r="A38" s="227" t="s">
        <v>683</v>
      </c>
      <c r="B38" s="198">
        <v>-98</v>
      </c>
      <c r="D38" s="227" t="s">
        <v>683</v>
      </c>
      <c r="E38" s="198">
        <v>-533</v>
      </c>
      <c r="G38" s="227" t="s">
        <v>590</v>
      </c>
      <c r="H38" s="198">
        <v>1149</v>
      </c>
      <c r="J38" s="227" t="s">
        <v>590</v>
      </c>
      <c r="K38" s="198">
        <v>942</v>
      </c>
      <c r="M38" s="227" t="s">
        <v>643</v>
      </c>
      <c r="N38" s="198">
        <v>374.8</v>
      </c>
      <c r="O38" s="198">
        <v>316.5</v>
      </c>
      <c r="P38" s="198">
        <v>555.6</v>
      </c>
      <c r="Q38" s="198">
        <v>342.2</v>
      </c>
    </row>
    <row r="39" spans="1:23" x14ac:dyDescent="0.3">
      <c r="A39" s="227" t="s">
        <v>684</v>
      </c>
      <c r="B39" s="198">
        <v>47</v>
      </c>
      <c r="D39" s="227" t="s">
        <v>684</v>
      </c>
      <c r="E39" s="198">
        <v>50</v>
      </c>
      <c r="G39" s="227"/>
      <c r="H39" s="198"/>
      <c r="J39" s="227"/>
      <c r="K39" s="198"/>
      <c r="M39" s="227" t="s">
        <v>644</v>
      </c>
      <c r="N39" s="198">
        <v>625.1</v>
      </c>
      <c r="O39" s="198">
        <v>627.5</v>
      </c>
      <c r="P39" s="198">
        <v>713.3</v>
      </c>
      <c r="Q39" s="198">
        <v>606.6</v>
      </c>
    </row>
    <row r="40" spans="1:23" x14ac:dyDescent="0.3">
      <c r="A40" s="227" t="s">
        <v>685</v>
      </c>
      <c r="B40" s="198">
        <v>0</v>
      </c>
      <c r="D40" s="227" t="s">
        <v>685</v>
      </c>
      <c r="E40" s="198">
        <v>0</v>
      </c>
      <c r="G40" s="227" t="s">
        <v>591</v>
      </c>
      <c r="H40" s="198"/>
      <c r="J40" s="227" t="s">
        <v>591</v>
      </c>
      <c r="K40" s="198"/>
      <c r="M40" s="227"/>
      <c r="N40" s="198"/>
      <c r="O40" s="198"/>
      <c r="P40" s="198"/>
      <c r="Q40" s="198"/>
    </row>
    <row r="41" spans="1:23" x14ac:dyDescent="0.3">
      <c r="A41" s="227"/>
      <c r="B41" s="198"/>
      <c r="D41" s="227"/>
      <c r="E41" s="198"/>
      <c r="G41" s="227" t="s">
        <v>594</v>
      </c>
      <c r="H41" s="198" t="s">
        <v>709</v>
      </c>
      <c r="J41" s="227" t="s">
        <v>592</v>
      </c>
      <c r="K41" s="198" t="s">
        <v>712</v>
      </c>
      <c r="M41" s="227" t="s">
        <v>73</v>
      </c>
      <c r="N41" s="198">
        <v>548.70000000000005</v>
      </c>
      <c r="O41" s="198">
        <v>509</v>
      </c>
      <c r="P41" s="198">
        <v>653.20000000000005</v>
      </c>
      <c r="Q41" s="198">
        <v>521.1</v>
      </c>
    </row>
    <row r="42" spans="1:23" x14ac:dyDescent="0.3">
      <c r="A42" s="227" t="s">
        <v>686</v>
      </c>
      <c r="B42" s="198"/>
      <c r="D42" s="227" t="s">
        <v>686</v>
      </c>
      <c r="E42" s="198"/>
      <c r="G42" s="227" t="s">
        <v>696</v>
      </c>
      <c r="H42" s="198" t="s">
        <v>710</v>
      </c>
      <c r="J42" s="227" t="s">
        <v>701</v>
      </c>
      <c r="K42" s="198" t="s">
        <v>713</v>
      </c>
      <c r="M42" s="227" t="s">
        <v>645</v>
      </c>
      <c r="N42" s="198">
        <v>424.6</v>
      </c>
      <c r="O42" s="198">
        <v>440</v>
      </c>
      <c r="P42" s="198">
        <v>375.6</v>
      </c>
      <c r="Q42" s="198">
        <v>419.3</v>
      </c>
    </row>
    <row r="43" spans="1:23" x14ac:dyDescent="0.3">
      <c r="A43" s="227" t="s">
        <v>687</v>
      </c>
      <c r="B43" s="198">
        <v>2.9060000000000001</v>
      </c>
      <c r="D43" s="227" t="s">
        <v>687</v>
      </c>
      <c r="E43" s="198">
        <v>-179.3</v>
      </c>
      <c r="G43" s="227" t="s">
        <v>596</v>
      </c>
      <c r="H43" s="198">
        <v>-27.67</v>
      </c>
      <c r="J43" s="227" t="s">
        <v>596</v>
      </c>
      <c r="K43" s="198">
        <v>108</v>
      </c>
      <c r="M43" s="227" t="s">
        <v>646</v>
      </c>
      <c r="N43" s="198">
        <v>61.94</v>
      </c>
      <c r="O43" s="198">
        <v>64.180000000000007</v>
      </c>
      <c r="P43" s="198">
        <v>53.12</v>
      </c>
      <c r="Q43" s="198">
        <v>59.3</v>
      </c>
    </row>
    <row r="44" spans="1:23" x14ac:dyDescent="0.3">
      <c r="A44" s="18"/>
      <c r="B44" s="10"/>
      <c r="D44" s="18"/>
      <c r="E44" s="10"/>
      <c r="G44" s="227" t="s">
        <v>597</v>
      </c>
      <c r="H44" s="198">
        <v>11.26</v>
      </c>
      <c r="J44" s="227" t="s">
        <v>597</v>
      </c>
      <c r="K44" s="198">
        <v>116.1</v>
      </c>
    </row>
    <row r="45" spans="1:23" x14ac:dyDescent="0.3">
      <c r="A45" s="18"/>
      <c r="B45" s="10"/>
      <c r="D45" s="18"/>
      <c r="E45" s="10"/>
    </row>
    <row r="47" spans="1:23" ht="25.5" customHeight="1" x14ac:dyDescent="0.45">
      <c r="A47" s="584" t="s">
        <v>81</v>
      </c>
      <c r="B47" s="584"/>
      <c r="C47" s="584"/>
      <c r="D47" s="584"/>
      <c r="E47" s="584"/>
      <c r="F47" s="584"/>
      <c r="G47" s="584"/>
      <c r="H47" s="584"/>
      <c r="I47" s="584"/>
      <c r="J47" s="584"/>
      <c r="K47" s="584"/>
      <c r="L47" s="584"/>
      <c r="M47" s="584"/>
      <c r="N47" s="584"/>
      <c r="O47" s="584"/>
      <c r="P47" s="584"/>
      <c r="Q47" s="584"/>
      <c r="R47" s="584"/>
      <c r="S47" s="584"/>
      <c r="T47" s="584"/>
      <c r="U47" s="584"/>
      <c r="V47" s="584"/>
      <c r="W47" s="584"/>
    </row>
    <row r="48" spans="1:23" x14ac:dyDescent="0.3">
      <c r="A48" s="227" t="s">
        <v>598</v>
      </c>
      <c r="B48" s="198" t="s">
        <v>756</v>
      </c>
      <c r="D48" s="227" t="s">
        <v>598</v>
      </c>
      <c r="E48" s="198" t="s">
        <v>756</v>
      </c>
      <c r="G48" s="227" t="s">
        <v>598</v>
      </c>
      <c r="H48" s="198" t="s">
        <v>756</v>
      </c>
      <c r="J48" s="227" t="s">
        <v>598</v>
      </c>
      <c r="K48" s="198" t="s">
        <v>756</v>
      </c>
      <c r="M48" s="198" t="s">
        <v>756</v>
      </c>
      <c r="N48" s="583" t="s">
        <v>714</v>
      </c>
      <c r="O48" s="583"/>
      <c r="P48" s="583" t="s">
        <v>715</v>
      </c>
      <c r="Q48" s="583"/>
      <c r="S48" s="228"/>
      <c r="T48" s="583" t="s">
        <v>714</v>
      </c>
      <c r="U48" s="583"/>
      <c r="V48" s="583" t="s">
        <v>715</v>
      </c>
      <c r="W48" s="583"/>
    </row>
    <row r="49" spans="1:23" x14ac:dyDescent="0.3">
      <c r="A49" s="227"/>
      <c r="B49" s="198"/>
      <c r="D49" s="227"/>
      <c r="E49" s="198"/>
      <c r="G49" s="227"/>
      <c r="H49" s="198"/>
      <c r="J49" s="227"/>
      <c r="K49" s="198"/>
      <c r="M49" s="228"/>
      <c r="N49" s="228" t="s">
        <v>674</v>
      </c>
      <c r="O49" s="228" t="s">
        <v>675</v>
      </c>
      <c r="P49" s="228" t="s">
        <v>674</v>
      </c>
      <c r="Q49" s="228" t="s">
        <v>675</v>
      </c>
      <c r="S49" s="228"/>
      <c r="T49" s="228" t="s">
        <v>674</v>
      </c>
      <c r="U49" s="228" t="s">
        <v>675</v>
      </c>
      <c r="V49" s="228" t="s">
        <v>674</v>
      </c>
      <c r="W49" s="228" t="s">
        <v>675</v>
      </c>
    </row>
    <row r="50" spans="1:23" x14ac:dyDescent="0.3">
      <c r="A50" s="227" t="s">
        <v>599</v>
      </c>
      <c r="B50" s="198" t="s">
        <v>718</v>
      </c>
      <c r="D50" s="227" t="s">
        <v>688</v>
      </c>
      <c r="E50" s="198" t="s">
        <v>721</v>
      </c>
      <c r="G50" s="227" t="s">
        <v>688</v>
      </c>
      <c r="H50" s="198" t="s">
        <v>721</v>
      </c>
      <c r="J50" s="227" t="s">
        <v>690</v>
      </c>
      <c r="K50" s="198" t="s">
        <v>722</v>
      </c>
      <c r="M50" s="227" t="s">
        <v>607</v>
      </c>
      <c r="N50" s="198">
        <v>34</v>
      </c>
      <c r="O50" s="198">
        <v>34</v>
      </c>
      <c r="P50" s="198">
        <v>31</v>
      </c>
      <c r="Q50" s="198">
        <v>31</v>
      </c>
      <c r="S50" s="227" t="s">
        <v>603</v>
      </c>
      <c r="T50" s="198"/>
      <c r="U50" s="198"/>
      <c r="V50" s="198"/>
      <c r="W50" s="198"/>
    </row>
    <row r="51" spans="1:23" x14ac:dyDescent="0.3">
      <c r="A51" s="227" t="s">
        <v>61</v>
      </c>
      <c r="B51" s="198" t="s">
        <v>61</v>
      </c>
      <c r="D51" s="227" t="s">
        <v>61</v>
      </c>
      <c r="E51" s="198" t="s">
        <v>61</v>
      </c>
      <c r="G51" s="227" t="s">
        <v>61</v>
      </c>
      <c r="H51" s="198" t="s">
        <v>61</v>
      </c>
      <c r="J51" s="227" t="s">
        <v>61</v>
      </c>
      <c r="K51" s="198" t="s">
        <v>61</v>
      </c>
      <c r="M51" s="227"/>
      <c r="N51" s="198"/>
      <c r="O51" s="198"/>
      <c r="P51" s="198"/>
      <c r="Q51" s="198"/>
      <c r="S51" s="227" t="s">
        <v>604</v>
      </c>
      <c r="T51" s="198"/>
      <c r="U51" s="198"/>
      <c r="V51" s="198"/>
      <c r="W51" s="198"/>
    </row>
    <row r="52" spans="1:23" x14ac:dyDescent="0.3">
      <c r="A52" s="227" t="s">
        <v>601</v>
      </c>
      <c r="B52" s="198" t="s">
        <v>719</v>
      </c>
      <c r="D52" s="227" t="s">
        <v>690</v>
      </c>
      <c r="E52" s="198" t="s">
        <v>722</v>
      </c>
      <c r="G52" s="227" t="s">
        <v>599</v>
      </c>
      <c r="H52" s="198" t="s">
        <v>718</v>
      </c>
      <c r="J52" s="227" t="s">
        <v>601</v>
      </c>
      <c r="K52" s="198" t="s">
        <v>719</v>
      </c>
      <c r="M52" s="227" t="s">
        <v>62</v>
      </c>
      <c r="N52" s="198">
        <v>11.03</v>
      </c>
      <c r="O52" s="198">
        <v>0</v>
      </c>
      <c r="P52" s="198">
        <v>8.4220000000000006</v>
      </c>
      <c r="Q52" s="198">
        <v>0</v>
      </c>
      <c r="S52" s="227" t="s">
        <v>605</v>
      </c>
      <c r="T52" s="198">
        <v>0.68899999999999995</v>
      </c>
      <c r="U52" s="198">
        <v>0.72829999999999995</v>
      </c>
      <c r="V52" s="198">
        <v>0.3997</v>
      </c>
      <c r="W52" s="198">
        <v>0.66120000000000001</v>
      </c>
    </row>
    <row r="53" spans="1:23" x14ac:dyDescent="0.3">
      <c r="A53" s="227"/>
      <c r="B53" s="198"/>
      <c r="D53" s="227"/>
      <c r="E53" s="198"/>
      <c r="G53" s="227"/>
      <c r="H53" s="198"/>
      <c r="J53" s="227"/>
      <c r="K53" s="198"/>
      <c r="M53" s="227" t="s">
        <v>637</v>
      </c>
      <c r="N53" s="198">
        <v>29.59</v>
      </c>
      <c r="O53" s="198">
        <v>0</v>
      </c>
      <c r="P53" s="198">
        <v>33.06</v>
      </c>
      <c r="Q53" s="198">
        <v>0</v>
      </c>
      <c r="S53" s="227" t="s">
        <v>583</v>
      </c>
      <c r="T53" s="198" t="s">
        <v>63</v>
      </c>
      <c r="U53" s="198" t="s">
        <v>63</v>
      </c>
      <c r="V53" s="198" t="s">
        <v>63</v>
      </c>
      <c r="W53" s="198" t="s">
        <v>63</v>
      </c>
    </row>
    <row r="54" spans="1:23" x14ac:dyDescent="0.3">
      <c r="A54" s="227" t="s">
        <v>680</v>
      </c>
      <c r="B54" s="198"/>
      <c r="D54" s="227" t="s">
        <v>680</v>
      </c>
      <c r="E54" s="198"/>
      <c r="G54" s="227" t="s">
        <v>582</v>
      </c>
      <c r="H54" s="198"/>
      <c r="J54" s="227" t="s">
        <v>582</v>
      </c>
      <c r="K54" s="198"/>
      <c r="M54" s="227" t="s">
        <v>7</v>
      </c>
      <c r="N54" s="198">
        <v>48.77</v>
      </c>
      <c r="O54" s="198">
        <v>2.4020000000000001</v>
      </c>
      <c r="P54" s="198">
        <v>47.94</v>
      </c>
      <c r="Q54" s="198">
        <v>0</v>
      </c>
      <c r="S54" s="227" t="s">
        <v>606</v>
      </c>
      <c r="T54" s="198" t="s">
        <v>25</v>
      </c>
      <c r="U54" s="198" t="s">
        <v>25</v>
      </c>
      <c r="V54" s="198" t="s">
        <v>25</v>
      </c>
      <c r="W54" s="198" t="s">
        <v>25</v>
      </c>
    </row>
    <row r="55" spans="1:23" x14ac:dyDescent="0.3">
      <c r="A55" s="227" t="s">
        <v>583</v>
      </c>
      <c r="B55" s="198" t="s">
        <v>63</v>
      </c>
      <c r="D55" s="227" t="s">
        <v>583</v>
      </c>
      <c r="E55" s="198" t="s">
        <v>63</v>
      </c>
      <c r="G55" s="227" t="s">
        <v>583</v>
      </c>
      <c r="H55" s="198">
        <v>0.21510000000000001</v>
      </c>
      <c r="J55" s="227" t="s">
        <v>583</v>
      </c>
      <c r="K55" s="198">
        <v>0.96619999999999995</v>
      </c>
      <c r="M55" s="227" t="s">
        <v>638</v>
      </c>
      <c r="N55" s="198">
        <v>128</v>
      </c>
      <c r="O55" s="198">
        <v>31.7</v>
      </c>
      <c r="P55" s="198">
        <v>98.16</v>
      </c>
      <c r="Q55" s="198">
        <v>23.37</v>
      </c>
      <c r="S55" s="227" t="s">
        <v>585</v>
      </c>
      <c r="T55" s="198" t="s">
        <v>65</v>
      </c>
      <c r="U55" s="198" t="s">
        <v>65</v>
      </c>
      <c r="V55" s="198" t="s">
        <v>65</v>
      </c>
      <c r="W55" s="198" t="s">
        <v>65</v>
      </c>
    </row>
    <row r="56" spans="1:23" x14ac:dyDescent="0.3">
      <c r="A56" s="227" t="s">
        <v>584</v>
      </c>
      <c r="B56" s="198" t="s">
        <v>67</v>
      </c>
      <c r="D56" s="227" t="s">
        <v>584</v>
      </c>
      <c r="E56" s="198" t="s">
        <v>67</v>
      </c>
      <c r="G56" s="227" t="s">
        <v>584</v>
      </c>
      <c r="H56" s="198" t="s">
        <v>67</v>
      </c>
      <c r="J56" s="227" t="s">
        <v>584</v>
      </c>
      <c r="K56" s="198" t="s">
        <v>67</v>
      </c>
      <c r="M56" s="227" t="s">
        <v>66</v>
      </c>
      <c r="N56" s="198">
        <v>544.79999999999995</v>
      </c>
      <c r="O56" s="198">
        <v>110.6</v>
      </c>
      <c r="P56" s="198">
        <v>1316</v>
      </c>
      <c r="Q56" s="198">
        <v>81.25</v>
      </c>
      <c r="S56" s="227"/>
      <c r="T56" s="198"/>
      <c r="U56" s="198"/>
      <c r="V56" s="198"/>
      <c r="W56" s="198"/>
    </row>
    <row r="57" spans="1:23" x14ac:dyDescent="0.3">
      <c r="A57" s="227" t="s">
        <v>585</v>
      </c>
      <c r="B57" s="198" t="s">
        <v>65</v>
      </c>
      <c r="D57" s="227" t="s">
        <v>585</v>
      </c>
      <c r="E57" s="198" t="s">
        <v>65</v>
      </c>
      <c r="G57" s="227" t="s">
        <v>585</v>
      </c>
      <c r="H57" s="198" t="s">
        <v>70</v>
      </c>
      <c r="J57" s="227" t="s">
        <v>585</v>
      </c>
      <c r="K57" s="198" t="s">
        <v>70</v>
      </c>
      <c r="M57" s="227" t="s">
        <v>68</v>
      </c>
      <c r="N57" s="198">
        <v>533.79999999999995</v>
      </c>
      <c r="O57" s="198">
        <v>110.6</v>
      </c>
      <c r="P57" s="198">
        <v>1308</v>
      </c>
      <c r="Q57" s="198">
        <v>81.25</v>
      </c>
      <c r="S57" s="227" t="s">
        <v>607</v>
      </c>
      <c r="T57" s="198">
        <v>34</v>
      </c>
      <c r="U57" s="198">
        <v>34</v>
      </c>
      <c r="V57" s="198">
        <v>31</v>
      </c>
      <c r="W57" s="198">
        <v>31</v>
      </c>
    </row>
    <row r="58" spans="1:23" x14ac:dyDescent="0.3">
      <c r="A58" s="227" t="s">
        <v>586</v>
      </c>
      <c r="B58" s="198" t="s">
        <v>71</v>
      </c>
      <c r="D58" s="227" t="s">
        <v>586</v>
      </c>
      <c r="E58" s="198" t="s">
        <v>71</v>
      </c>
      <c r="G58" s="227" t="s">
        <v>586</v>
      </c>
      <c r="H58" s="198" t="s">
        <v>25</v>
      </c>
      <c r="J58" s="227" t="s">
        <v>586</v>
      </c>
      <c r="K58" s="198" t="s">
        <v>25</v>
      </c>
      <c r="M58" s="227"/>
      <c r="N58" s="198"/>
      <c r="O58" s="198"/>
      <c r="P58" s="198"/>
      <c r="Q58" s="198"/>
    </row>
    <row r="59" spans="1:23" x14ac:dyDescent="0.3">
      <c r="A59" s="227" t="s">
        <v>587</v>
      </c>
      <c r="B59" s="198" t="s">
        <v>72</v>
      </c>
      <c r="D59" s="227" t="s">
        <v>587</v>
      </c>
      <c r="E59" s="198" t="s">
        <v>72</v>
      </c>
      <c r="G59" s="227" t="s">
        <v>587</v>
      </c>
      <c r="H59" s="198" t="s">
        <v>72</v>
      </c>
      <c r="J59" s="227" t="s">
        <v>587</v>
      </c>
      <c r="K59" s="198" t="s">
        <v>72</v>
      </c>
      <c r="M59" s="227" t="s">
        <v>639</v>
      </c>
      <c r="N59" s="198"/>
      <c r="O59" s="198"/>
      <c r="P59" s="198"/>
      <c r="Q59" s="198"/>
    </row>
    <row r="60" spans="1:23" x14ac:dyDescent="0.3">
      <c r="A60" s="227" t="s">
        <v>681</v>
      </c>
      <c r="B60" s="198" t="s">
        <v>720</v>
      </c>
      <c r="D60" s="227" t="s">
        <v>681</v>
      </c>
      <c r="E60" s="198" t="s">
        <v>723</v>
      </c>
      <c r="G60" s="227" t="s">
        <v>693</v>
      </c>
      <c r="H60" s="198" t="s">
        <v>724</v>
      </c>
      <c r="J60" s="227" t="s">
        <v>698</v>
      </c>
      <c r="K60" s="198" t="s">
        <v>727</v>
      </c>
      <c r="M60" s="227" t="s">
        <v>640</v>
      </c>
      <c r="N60" s="198" t="s">
        <v>716</v>
      </c>
      <c r="O60" s="198" t="s">
        <v>716</v>
      </c>
      <c r="P60" s="198" t="s">
        <v>717</v>
      </c>
      <c r="Q60" s="198" t="s">
        <v>717</v>
      </c>
    </row>
    <row r="61" spans="1:23" x14ac:dyDescent="0.3">
      <c r="A61" s="227" t="s">
        <v>683</v>
      </c>
      <c r="B61" s="198">
        <v>-465</v>
      </c>
      <c r="D61" s="227" t="s">
        <v>683</v>
      </c>
      <c r="E61" s="198">
        <v>-454</v>
      </c>
      <c r="G61" s="227" t="s">
        <v>590</v>
      </c>
      <c r="H61" s="198">
        <v>441</v>
      </c>
      <c r="J61" s="227" t="s">
        <v>590</v>
      </c>
      <c r="K61" s="198">
        <v>523.5</v>
      </c>
      <c r="M61" s="227" t="s">
        <v>643</v>
      </c>
      <c r="N61" s="198">
        <v>33.29</v>
      </c>
      <c r="O61" s="198">
        <v>0</v>
      </c>
      <c r="P61" s="198">
        <v>37.31</v>
      </c>
      <c r="Q61" s="198">
        <v>0</v>
      </c>
    </row>
    <row r="62" spans="1:23" x14ac:dyDescent="0.3">
      <c r="A62" s="227" t="s">
        <v>684</v>
      </c>
      <c r="B62" s="198">
        <v>34</v>
      </c>
      <c r="D62" s="227" t="s">
        <v>684</v>
      </c>
      <c r="E62" s="198">
        <v>31</v>
      </c>
      <c r="G62" s="227"/>
      <c r="H62" s="198"/>
      <c r="J62" s="227"/>
      <c r="K62" s="198"/>
      <c r="M62" s="227" t="s">
        <v>644</v>
      </c>
      <c r="N62" s="198">
        <v>90</v>
      </c>
      <c r="O62" s="198">
        <v>30.22</v>
      </c>
      <c r="P62" s="198">
        <v>82.04</v>
      </c>
      <c r="Q62" s="198">
        <v>13.8</v>
      </c>
    </row>
    <row r="63" spans="1:23" x14ac:dyDescent="0.3">
      <c r="A63" s="227" t="s">
        <v>685</v>
      </c>
      <c r="B63" s="198">
        <v>1</v>
      </c>
      <c r="D63" s="227" t="s">
        <v>685</v>
      </c>
      <c r="E63" s="198">
        <v>0</v>
      </c>
      <c r="G63" s="227" t="s">
        <v>591</v>
      </c>
      <c r="H63" s="198"/>
      <c r="J63" s="227" t="s">
        <v>591</v>
      </c>
      <c r="K63" s="198"/>
      <c r="M63" s="227"/>
      <c r="N63" s="198"/>
      <c r="O63" s="198"/>
      <c r="P63" s="198"/>
      <c r="Q63" s="198"/>
    </row>
    <row r="64" spans="1:23" x14ac:dyDescent="0.3">
      <c r="A64" s="227"/>
      <c r="B64" s="198"/>
      <c r="D64" s="227"/>
      <c r="E64" s="198"/>
      <c r="G64" s="227" t="s">
        <v>594</v>
      </c>
      <c r="H64" s="198" t="s">
        <v>725</v>
      </c>
      <c r="J64" s="227" t="s">
        <v>592</v>
      </c>
      <c r="K64" s="198" t="s">
        <v>728</v>
      </c>
      <c r="M64" s="227" t="s">
        <v>73</v>
      </c>
      <c r="N64" s="198">
        <v>91.03</v>
      </c>
      <c r="O64" s="198">
        <v>21.34</v>
      </c>
      <c r="P64" s="198">
        <v>133.5</v>
      </c>
      <c r="Q64" s="198">
        <v>11.55</v>
      </c>
    </row>
    <row r="65" spans="1:23" x14ac:dyDescent="0.3">
      <c r="A65" s="227" t="s">
        <v>686</v>
      </c>
      <c r="B65" s="198"/>
      <c r="D65" s="227" t="s">
        <v>686</v>
      </c>
      <c r="E65" s="198"/>
      <c r="G65" s="227" t="s">
        <v>696</v>
      </c>
      <c r="H65" s="198" t="s">
        <v>726</v>
      </c>
      <c r="J65" s="227" t="s">
        <v>701</v>
      </c>
      <c r="K65" s="198" t="s">
        <v>729</v>
      </c>
      <c r="M65" s="227" t="s">
        <v>645</v>
      </c>
      <c r="N65" s="198">
        <v>106.4</v>
      </c>
      <c r="O65" s="198">
        <v>30.5</v>
      </c>
      <c r="P65" s="198">
        <v>285.3</v>
      </c>
      <c r="Q65" s="198">
        <v>19.63</v>
      </c>
    </row>
    <row r="66" spans="1:23" x14ac:dyDescent="0.3">
      <c r="A66" s="227" t="s">
        <v>687</v>
      </c>
      <c r="B66" s="198">
        <v>-30.79</v>
      </c>
      <c r="D66" s="227" t="s">
        <v>687</v>
      </c>
      <c r="E66" s="198">
        <v>-42.59</v>
      </c>
      <c r="G66" s="227" t="s">
        <v>596</v>
      </c>
      <c r="H66" s="198">
        <v>-2.4020000000000001</v>
      </c>
      <c r="J66" s="227" t="s">
        <v>596</v>
      </c>
      <c r="K66" s="198">
        <v>-0.82650000000000001</v>
      </c>
      <c r="M66" s="227" t="s">
        <v>646</v>
      </c>
      <c r="N66" s="198">
        <v>18.25</v>
      </c>
      <c r="O66" s="198">
        <v>5.2309999999999999</v>
      </c>
      <c r="P66" s="198">
        <v>51.25</v>
      </c>
      <c r="Q66" s="198">
        <v>3.5259999999999998</v>
      </c>
    </row>
    <row r="67" spans="1:23" x14ac:dyDescent="0.3">
      <c r="A67" s="18"/>
      <c r="B67" s="10"/>
      <c r="D67" s="18"/>
      <c r="E67" s="10"/>
      <c r="G67" s="227" t="s">
        <v>597</v>
      </c>
      <c r="H67" s="198">
        <v>0</v>
      </c>
      <c r="J67" s="227" t="s">
        <v>597</v>
      </c>
      <c r="K67" s="198">
        <v>-0.59</v>
      </c>
    </row>
    <row r="68" spans="1:23" x14ac:dyDescent="0.3">
      <c r="A68" s="18"/>
      <c r="B68" s="10"/>
      <c r="D68" s="18"/>
      <c r="E68" s="10"/>
    </row>
    <row r="69" spans="1:23" x14ac:dyDescent="0.3">
      <c r="A69" s="18"/>
      <c r="B69" s="10"/>
      <c r="D69" s="18"/>
      <c r="E69" s="10"/>
    </row>
    <row r="70" spans="1:23" ht="18" x14ac:dyDescent="0.4">
      <c r="A70" s="585" t="s">
        <v>85</v>
      </c>
      <c r="B70" s="585"/>
      <c r="C70" s="585"/>
      <c r="D70" s="585"/>
      <c r="E70" s="585"/>
      <c r="F70" s="585"/>
      <c r="G70" s="585"/>
      <c r="H70" s="585"/>
      <c r="I70" s="585"/>
      <c r="J70" s="585"/>
      <c r="K70" s="585"/>
      <c r="L70" s="585"/>
      <c r="M70" s="585"/>
      <c r="N70" s="585"/>
      <c r="O70" s="585"/>
      <c r="P70" s="585"/>
      <c r="Q70" s="585"/>
      <c r="R70" s="585"/>
      <c r="S70" s="585"/>
      <c r="T70" s="585"/>
      <c r="U70" s="585"/>
      <c r="V70" s="585"/>
      <c r="W70" s="585"/>
    </row>
    <row r="71" spans="1:23" x14ac:dyDescent="0.3">
      <c r="A71" s="227" t="s">
        <v>598</v>
      </c>
      <c r="B71" s="198" t="s">
        <v>757</v>
      </c>
      <c r="D71" s="227" t="s">
        <v>598</v>
      </c>
      <c r="E71" s="198" t="s">
        <v>757</v>
      </c>
      <c r="G71" s="227" t="s">
        <v>598</v>
      </c>
      <c r="H71" s="198" t="s">
        <v>757</v>
      </c>
      <c r="J71" s="227" t="s">
        <v>598</v>
      </c>
      <c r="K71" s="198" t="s">
        <v>757</v>
      </c>
      <c r="M71" s="198" t="s">
        <v>757</v>
      </c>
      <c r="N71" s="583" t="s">
        <v>672</v>
      </c>
      <c r="O71" s="583"/>
      <c r="P71" s="583" t="s">
        <v>730</v>
      </c>
      <c r="Q71" s="583"/>
      <c r="S71" s="228"/>
      <c r="T71" s="583" t="s">
        <v>672</v>
      </c>
      <c r="U71" s="583"/>
      <c r="V71" s="583" t="s">
        <v>730</v>
      </c>
      <c r="W71" s="583"/>
    </row>
    <row r="72" spans="1:23" x14ac:dyDescent="0.3">
      <c r="A72" s="227"/>
      <c r="B72" s="198"/>
      <c r="D72" s="227"/>
      <c r="E72" s="198"/>
      <c r="G72" s="227"/>
      <c r="H72" s="198"/>
      <c r="J72" s="227"/>
      <c r="K72" s="198"/>
      <c r="M72" s="228"/>
      <c r="N72" s="228" t="s">
        <v>674</v>
      </c>
      <c r="O72" s="228" t="s">
        <v>675</v>
      </c>
      <c r="P72" s="228" t="s">
        <v>674</v>
      </c>
      <c r="Q72" s="228" t="s">
        <v>675</v>
      </c>
      <c r="S72" s="228"/>
      <c r="T72" s="228" t="s">
        <v>674</v>
      </c>
      <c r="U72" s="228" t="s">
        <v>675</v>
      </c>
      <c r="V72" s="228" t="s">
        <v>674</v>
      </c>
      <c r="W72" s="228" t="s">
        <v>675</v>
      </c>
    </row>
    <row r="73" spans="1:23" x14ac:dyDescent="0.3">
      <c r="A73" s="227" t="s">
        <v>599</v>
      </c>
      <c r="B73" s="198" t="s">
        <v>718</v>
      </c>
      <c r="D73" s="227" t="s">
        <v>688</v>
      </c>
      <c r="E73" s="198" t="s">
        <v>721</v>
      </c>
      <c r="G73" s="227" t="s">
        <v>690</v>
      </c>
      <c r="H73" s="198" t="s">
        <v>722</v>
      </c>
      <c r="J73" s="227" t="s">
        <v>688</v>
      </c>
      <c r="K73" s="198" t="s">
        <v>721</v>
      </c>
      <c r="M73" s="227" t="s">
        <v>607</v>
      </c>
      <c r="N73" s="198">
        <v>47</v>
      </c>
      <c r="O73" s="198">
        <v>47</v>
      </c>
      <c r="P73" s="198">
        <v>48</v>
      </c>
      <c r="Q73" s="198">
        <v>48</v>
      </c>
      <c r="S73" s="227" t="s">
        <v>603</v>
      </c>
      <c r="T73" s="198"/>
      <c r="U73" s="198"/>
      <c r="V73" s="198"/>
      <c r="W73" s="198"/>
    </row>
    <row r="74" spans="1:23" x14ac:dyDescent="0.3">
      <c r="A74" s="227" t="s">
        <v>61</v>
      </c>
      <c r="B74" s="198" t="s">
        <v>61</v>
      </c>
      <c r="D74" s="227" t="s">
        <v>61</v>
      </c>
      <c r="E74" s="198" t="s">
        <v>61</v>
      </c>
      <c r="G74" s="227" t="s">
        <v>61</v>
      </c>
      <c r="H74" s="198" t="s">
        <v>61</v>
      </c>
      <c r="J74" s="227" t="s">
        <v>61</v>
      </c>
      <c r="K74" s="198" t="s">
        <v>61</v>
      </c>
      <c r="M74" s="227"/>
      <c r="N74" s="198"/>
      <c r="O74" s="198"/>
      <c r="P74" s="198"/>
      <c r="Q74" s="198"/>
      <c r="S74" s="227" t="s">
        <v>604</v>
      </c>
      <c r="T74" s="198"/>
      <c r="U74" s="198"/>
      <c r="V74" s="198"/>
      <c r="W74" s="198"/>
    </row>
    <row r="75" spans="1:23" x14ac:dyDescent="0.3">
      <c r="A75" s="227" t="s">
        <v>601</v>
      </c>
      <c r="B75" s="198" t="s">
        <v>719</v>
      </c>
      <c r="D75" s="227" t="s">
        <v>690</v>
      </c>
      <c r="E75" s="198" t="s">
        <v>722</v>
      </c>
      <c r="G75" s="227" t="s">
        <v>601</v>
      </c>
      <c r="H75" s="198" t="s">
        <v>719</v>
      </c>
      <c r="J75" s="227" t="s">
        <v>599</v>
      </c>
      <c r="K75" s="198" t="s">
        <v>718</v>
      </c>
      <c r="M75" s="227" t="s">
        <v>62</v>
      </c>
      <c r="N75" s="198">
        <v>1.048</v>
      </c>
      <c r="O75" s="198">
        <v>0.7823</v>
      </c>
      <c r="P75" s="198">
        <v>0.38300000000000001</v>
      </c>
      <c r="Q75" s="198">
        <v>0.3458</v>
      </c>
      <c r="S75" s="227" t="s">
        <v>605</v>
      </c>
      <c r="T75" s="198">
        <v>0.83950000000000002</v>
      </c>
      <c r="U75" s="198">
        <v>0.87060000000000004</v>
      </c>
      <c r="V75" s="198">
        <v>0.91279999999999994</v>
      </c>
      <c r="W75" s="198">
        <v>0.91500000000000004</v>
      </c>
    </row>
    <row r="76" spans="1:23" x14ac:dyDescent="0.3">
      <c r="A76" s="227"/>
      <c r="B76" s="198"/>
      <c r="D76" s="227"/>
      <c r="E76" s="198"/>
      <c r="G76" s="227"/>
      <c r="H76" s="198"/>
      <c r="J76" s="227"/>
      <c r="K76" s="198"/>
      <c r="M76" s="227" t="s">
        <v>637</v>
      </c>
      <c r="N76" s="198">
        <v>2.3039999999999998</v>
      </c>
      <c r="O76" s="198">
        <v>3.73</v>
      </c>
      <c r="P76" s="198">
        <v>2.8940000000000001</v>
      </c>
      <c r="Q76" s="198">
        <v>3.7959999999999998</v>
      </c>
      <c r="S76" s="227" t="s">
        <v>583</v>
      </c>
      <c r="T76" s="198" t="s">
        <v>63</v>
      </c>
      <c r="U76" s="198" t="s">
        <v>63</v>
      </c>
      <c r="V76" s="198">
        <v>1.6999999999999999E-3</v>
      </c>
      <c r="W76" s="198">
        <v>2E-3</v>
      </c>
    </row>
    <row r="77" spans="1:23" x14ac:dyDescent="0.3">
      <c r="A77" s="227" t="s">
        <v>680</v>
      </c>
      <c r="B77" s="198"/>
      <c r="D77" s="227" t="s">
        <v>680</v>
      </c>
      <c r="E77" s="198"/>
      <c r="G77" s="227" t="s">
        <v>582</v>
      </c>
      <c r="H77" s="198"/>
      <c r="J77" s="227" t="s">
        <v>582</v>
      </c>
      <c r="K77" s="198"/>
      <c r="M77" s="227" t="s">
        <v>7</v>
      </c>
      <c r="N77" s="198">
        <v>6.2990000000000004</v>
      </c>
      <c r="O77" s="198">
        <v>7.1710000000000003</v>
      </c>
      <c r="P77" s="198">
        <v>6.6539999999999999</v>
      </c>
      <c r="Q77" s="198">
        <v>11.12</v>
      </c>
      <c r="S77" s="227" t="s">
        <v>606</v>
      </c>
      <c r="T77" s="198" t="s">
        <v>25</v>
      </c>
      <c r="U77" s="198" t="s">
        <v>25</v>
      </c>
      <c r="V77" s="198" t="s">
        <v>25</v>
      </c>
      <c r="W77" s="198" t="s">
        <v>25</v>
      </c>
    </row>
    <row r="78" spans="1:23" x14ac:dyDescent="0.3">
      <c r="A78" s="227" t="s">
        <v>583</v>
      </c>
      <c r="B78" s="198">
        <v>0.30520000000000003</v>
      </c>
      <c r="D78" s="227" t="s">
        <v>583</v>
      </c>
      <c r="E78" s="198">
        <v>3.7999999999999999E-2</v>
      </c>
      <c r="G78" s="227" t="s">
        <v>583</v>
      </c>
      <c r="H78" s="198">
        <v>0.8851</v>
      </c>
      <c r="J78" s="227" t="s">
        <v>583</v>
      </c>
      <c r="K78" s="198">
        <v>0.6593</v>
      </c>
      <c r="M78" s="227" t="s">
        <v>638</v>
      </c>
      <c r="N78" s="198">
        <v>12.87</v>
      </c>
      <c r="O78" s="198">
        <v>16.670000000000002</v>
      </c>
      <c r="P78" s="198">
        <v>12.49</v>
      </c>
      <c r="Q78" s="198">
        <v>16.440000000000001</v>
      </c>
      <c r="S78" s="227" t="s">
        <v>585</v>
      </c>
      <c r="T78" s="198" t="s">
        <v>65</v>
      </c>
      <c r="U78" s="198" t="s">
        <v>65</v>
      </c>
      <c r="V78" s="198" t="s">
        <v>74</v>
      </c>
      <c r="W78" s="198" t="s">
        <v>74</v>
      </c>
    </row>
    <row r="79" spans="1:23" x14ac:dyDescent="0.3">
      <c r="A79" s="227" t="s">
        <v>584</v>
      </c>
      <c r="B79" s="198" t="s">
        <v>67</v>
      </c>
      <c r="D79" s="227" t="s">
        <v>584</v>
      </c>
      <c r="E79" s="198" t="s">
        <v>67</v>
      </c>
      <c r="G79" s="227" t="s">
        <v>584</v>
      </c>
      <c r="H79" s="198" t="s">
        <v>67</v>
      </c>
      <c r="J79" s="227" t="s">
        <v>584</v>
      </c>
      <c r="K79" s="198" t="s">
        <v>67</v>
      </c>
      <c r="M79" s="227" t="s">
        <v>66</v>
      </c>
      <c r="N79" s="198">
        <v>36.270000000000003</v>
      </c>
      <c r="O79" s="198">
        <v>31.5</v>
      </c>
      <c r="P79" s="198">
        <v>24.38</v>
      </c>
      <c r="Q79" s="198">
        <v>22.96</v>
      </c>
      <c r="S79" s="227"/>
      <c r="T79" s="198"/>
      <c r="U79" s="198"/>
      <c r="V79" s="198"/>
      <c r="W79" s="198"/>
    </row>
    <row r="80" spans="1:23" x14ac:dyDescent="0.3">
      <c r="A80" s="227" t="s">
        <v>585</v>
      </c>
      <c r="B80" s="198" t="s">
        <v>70</v>
      </c>
      <c r="D80" s="227" t="s">
        <v>585</v>
      </c>
      <c r="E80" s="198" t="s">
        <v>69</v>
      </c>
      <c r="G80" s="227" t="s">
        <v>585</v>
      </c>
      <c r="H80" s="198" t="s">
        <v>70</v>
      </c>
      <c r="J80" s="227" t="s">
        <v>585</v>
      </c>
      <c r="K80" s="198" t="s">
        <v>70</v>
      </c>
      <c r="M80" s="227" t="s">
        <v>68</v>
      </c>
      <c r="N80" s="198">
        <v>35.22</v>
      </c>
      <c r="O80" s="198">
        <v>30.72</v>
      </c>
      <c r="P80" s="198">
        <v>24</v>
      </c>
      <c r="Q80" s="198">
        <v>22.61</v>
      </c>
      <c r="S80" s="227" t="s">
        <v>607</v>
      </c>
      <c r="T80" s="198">
        <v>47</v>
      </c>
      <c r="U80" s="198">
        <v>47</v>
      </c>
      <c r="V80" s="198">
        <v>48</v>
      </c>
      <c r="W80" s="198">
        <v>48</v>
      </c>
    </row>
    <row r="81" spans="1:17" x14ac:dyDescent="0.3">
      <c r="A81" s="227" t="s">
        <v>586</v>
      </c>
      <c r="B81" s="198" t="s">
        <v>25</v>
      </c>
      <c r="D81" s="227" t="s">
        <v>586</v>
      </c>
      <c r="E81" s="198" t="s">
        <v>71</v>
      </c>
      <c r="G81" s="227" t="s">
        <v>586</v>
      </c>
      <c r="H81" s="198" t="s">
        <v>25</v>
      </c>
      <c r="J81" s="227" t="s">
        <v>586</v>
      </c>
      <c r="K81" s="198" t="s">
        <v>25</v>
      </c>
      <c r="M81" s="227"/>
      <c r="N81" s="198"/>
      <c r="O81" s="198"/>
      <c r="P81" s="198"/>
      <c r="Q81" s="198"/>
    </row>
    <row r="82" spans="1:17" x14ac:dyDescent="0.3">
      <c r="A82" s="227" t="s">
        <v>587</v>
      </c>
      <c r="B82" s="198" t="s">
        <v>72</v>
      </c>
      <c r="D82" s="227" t="s">
        <v>587</v>
      </c>
      <c r="E82" s="198" t="s">
        <v>72</v>
      </c>
      <c r="G82" s="227" t="s">
        <v>587</v>
      </c>
      <c r="H82" s="198" t="s">
        <v>72</v>
      </c>
      <c r="J82" s="227" t="s">
        <v>587</v>
      </c>
      <c r="K82" s="198" t="s">
        <v>72</v>
      </c>
      <c r="M82" s="227" t="s">
        <v>639</v>
      </c>
      <c r="N82" s="198"/>
      <c r="O82" s="198"/>
      <c r="P82" s="198"/>
      <c r="Q82" s="198"/>
    </row>
    <row r="83" spans="1:17" x14ac:dyDescent="0.3">
      <c r="A83" s="227" t="s">
        <v>681</v>
      </c>
      <c r="B83" s="198" t="s">
        <v>731</v>
      </c>
      <c r="D83" s="227" t="s">
        <v>681</v>
      </c>
      <c r="E83" s="198" t="s">
        <v>732</v>
      </c>
      <c r="G83" s="227" t="s">
        <v>698</v>
      </c>
      <c r="H83" s="198" t="s">
        <v>733</v>
      </c>
      <c r="J83" s="227" t="s">
        <v>693</v>
      </c>
      <c r="K83" s="198" t="s">
        <v>736</v>
      </c>
      <c r="M83" s="227" t="s">
        <v>640</v>
      </c>
      <c r="N83" s="198" t="s">
        <v>704</v>
      </c>
      <c r="O83" s="198" t="s">
        <v>704</v>
      </c>
      <c r="P83" s="198" t="s">
        <v>82</v>
      </c>
      <c r="Q83" s="198" t="s">
        <v>82</v>
      </c>
    </row>
    <row r="84" spans="1:17" x14ac:dyDescent="0.3">
      <c r="A84" s="227" t="s">
        <v>683</v>
      </c>
      <c r="B84" s="198">
        <v>196</v>
      </c>
      <c r="D84" s="227" t="s">
        <v>683</v>
      </c>
      <c r="E84" s="198">
        <v>404</v>
      </c>
      <c r="G84" s="227" t="s">
        <v>590</v>
      </c>
      <c r="H84" s="198">
        <v>1108</v>
      </c>
      <c r="J84" s="227" t="s">
        <v>590</v>
      </c>
      <c r="K84" s="198">
        <v>1068</v>
      </c>
      <c r="M84" s="227" t="s">
        <v>643</v>
      </c>
      <c r="N84" s="198">
        <v>4.2949999999999999</v>
      </c>
      <c r="O84" s="198">
        <v>5.1559999999999997</v>
      </c>
      <c r="P84" s="198">
        <v>4.2089999999999996</v>
      </c>
      <c r="Q84" s="198">
        <v>5.0250000000000004</v>
      </c>
    </row>
    <row r="85" spans="1:17" x14ac:dyDescent="0.3">
      <c r="A85" s="227" t="s">
        <v>684</v>
      </c>
      <c r="B85" s="198">
        <v>47</v>
      </c>
      <c r="D85" s="227" t="s">
        <v>684</v>
      </c>
      <c r="E85" s="198">
        <v>48</v>
      </c>
      <c r="G85" s="227"/>
      <c r="H85" s="198"/>
      <c r="J85" s="227"/>
      <c r="K85" s="198"/>
      <c r="M85" s="227" t="s">
        <v>644</v>
      </c>
      <c r="N85" s="198">
        <v>8.7140000000000004</v>
      </c>
      <c r="O85" s="198">
        <v>11.18</v>
      </c>
      <c r="P85" s="198">
        <v>9.5579999999999998</v>
      </c>
      <c r="Q85" s="198">
        <v>14.12</v>
      </c>
    </row>
    <row r="86" spans="1:17" x14ac:dyDescent="0.3">
      <c r="A86" s="227" t="s">
        <v>685</v>
      </c>
      <c r="B86" s="198">
        <v>0</v>
      </c>
      <c r="D86" s="227" t="s">
        <v>685</v>
      </c>
      <c r="E86" s="198">
        <v>0</v>
      </c>
      <c r="G86" s="227" t="s">
        <v>591</v>
      </c>
      <c r="H86" s="198"/>
      <c r="J86" s="227" t="s">
        <v>591</v>
      </c>
      <c r="K86" s="198"/>
      <c r="M86" s="227"/>
      <c r="N86" s="198"/>
      <c r="O86" s="198"/>
      <c r="P86" s="198"/>
      <c r="Q86" s="198"/>
    </row>
    <row r="87" spans="1:17" x14ac:dyDescent="0.3">
      <c r="A87" s="227"/>
      <c r="B87" s="198"/>
      <c r="D87" s="227"/>
      <c r="E87" s="198"/>
      <c r="G87" s="227" t="s">
        <v>592</v>
      </c>
      <c r="H87" s="198" t="s">
        <v>734</v>
      </c>
      <c r="J87" s="227" t="s">
        <v>594</v>
      </c>
      <c r="K87" s="198" t="s">
        <v>737</v>
      </c>
      <c r="M87" s="227" t="s">
        <v>73</v>
      </c>
      <c r="N87" s="198">
        <v>8.8620000000000001</v>
      </c>
      <c r="O87" s="198">
        <v>10.18</v>
      </c>
      <c r="P87" s="198">
        <v>8.1649999999999991</v>
      </c>
      <c r="Q87" s="198">
        <v>10.54</v>
      </c>
    </row>
    <row r="88" spans="1:17" x14ac:dyDescent="0.3">
      <c r="A88" s="227" t="s">
        <v>686</v>
      </c>
      <c r="B88" s="198"/>
      <c r="D88" s="227" t="s">
        <v>686</v>
      </c>
      <c r="E88" s="198"/>
      <c r="G88" s="227" t="s">
        <v>701</v>
      </c>
      <c r="H88" s="198" t="s">
        <v>735</v>
      </c>
      <c r="J88" s="227" t="s">
        <v>696</v>
      </c>
      <c r="K88" s="198" t="s">
        <v>738</v>
      </c>
      <c r="M88" s="227" t="s">
        <v>645</v>
      </c>
      <c r="N88" s="198">
        <v>8.2370000000000001</v>
      </c>
      <c r="O88" s="198">
        <v>8.3559999999999999</v>
      </c>
      <c r="P88" s="198">
        <v>6.31</v>
      </c>
      <c r="Q88" s="198">
        <v>6.96</v>
      </c>
    </row>
    <row r="89" spans="1:17" x14ac:dyDescent="0.3">
      <c r="A89" s="227" t="s">
        <v>687</v>
      </c>
      <c r="B89" s="198">
        <v>1.637</v>
      </c>
      <c r="D89" s="227" t="s">
        <v>687</v>
      </c>
      <c r="E89" s="198">
        <v>2.0950000000000002</v>
      </c>
      <c r="G89" s="227" t="s">
        <v>596</v>
      </c>
      <c r="H89" s="198">
        <v>0.35510000000000003</v>
      </c>
      <c r="J89" s="227" t="s">
        <v>596</v>
      </c>
      <c r="K89" s="198">
        <v>3.944</v>
      </c>
      <c r="M89" s="227" t="s">
        <v>646</v>
      </c>
      <c r="N89" s="198">
        <v>1.2010000000000001</v>
      </c>
      <c r="O89" s="198">
        <v>1.2190000000000001</v>
      </c>
      <c r="P89" s="198">
        <v>0.91080000000000005</v>
      </c>
      <c r="Q89" s="198">
        <v>1.0049999999999999</v>
      </c>
    </row>
    <row r="90" spans="1:17" x14ac:dyDescent="0.3">
      <c r="G90" s="227" t="s">
        <v>597</v>
      </c>
      <c r="H90" s="198">
        <v>0.1426</v>
      </c>
      <c r="J90" s="227" t="s">
        <v>597</v>
      </c>
      <c r="K90" s="198">
        <v>0.61170000000000002</v>
      </c>
    </row>
  </sheetData>
  <mergeCells count="20">
    <mergeCell ref="T71:U71"/>
    <mergeCell ref="V71:W71"/>
    <mergeCell ref="N71:O71"/>
    <mergeCell ref="P71:Q71"/>
    <mergeCell ref="A70:W70"/>
    <mergeCell ref="A24:Q24"/>
    <mergeCell ref="A1:W1"/>
    <mergeCell ref="A47:W47"/>
    <mergeCell ref="T2:U2"/>
    <mergeCell ref="V2:W2"/>
    <mergeCell ref="N2:O2"/>
    <mergeCell ref="P2:Q2"/>
    <mergeCell ref="N25:O25"/>
    <mergeCell ref="P25:Q25"/>
    <mergeCell ref="T48:U48"/>
    <mergeCell ref="V48:W48"/>
    <mergeCell ref="N48:O48"/>
    <mergeCell ref="P48:Q48"/>
    <mergeCell ref="T25:U25"/>
    <mergeCell ref="V25:W25"/>
  </mergeCells>
  <pageMargins left="0.7" right="0.7" top="0.75" bottom="0.75" header="0.3" footer="0.3"/>
  <drawing r:id="rId1"/>
  <legacyDrawing r:id="rId2"/>
  <oleObjects>
    <mc:AlternateContent xmlns:mc="http://schemas.openxmlformats.org/markup-compatibility/2006">
      <mc:Choice Requires="x14">
        <oleObject progId="Prism10.Document" shapeId="25608" r:id="rId3">
          <objectPr defaultSize="0" r:id="rId4">
            <anchor moveWithCells="1">
              <from>
                <xdr:col>24</xdr:col>
                <xdr:colOff>57150</xdr:colOff>
                <xdr:row>0</xdr:row>
                <xdr:rowOff>431800</xdr:rowOff>
              </from>
              <to>
                <xdr:col>31</xdr:col>
                <xdr:colOff>450850</xdr:colOff>
                <xdr:row>17</xdr:row>
                <xdr:rowOff>127000</xdr:rowOff>
              </to>
            </anchor>
          </objectPr>
        </oleObject>
      </mc:Choice>
      <mc:Fallback>
        <oleObject progId="Prism10.Document" shapeId="25608" r:id="rId3"/>
      </mc:Fallback>
    </mc:AlternateContent>
    <mc:AlternateContent xmlns:mc="http://schemas.openxmlformats.org/markup-compatibility/2006">
      <mc:Choice Requires="x14">
        <oleObject progId="Prism10.Document" shapeId="25609" r:id="rId5">
          <objectPr defaultSize="0" r:id="rId6">
            <anchor moveWithCells="1">
              <from>
                <xdr:col>24</xdr:col>
                <xdr:colOff>31750</xdr:colOff>
                <xdr:row>24</xdr:row>
                <xdr:rowOff>12700</xdr:rowOff>
              </from>
              <to>
                <xdr:col>31</xdr:col>
                <xdr:colOff>533400</xdr:colOff>
                <xdr:row>40</xdr:row>
                <xdr:rowOff>146050</xdr:rowOff>
              </to>
            </anchor>
          </objectPr>
        </oleObject>
      </mc:Choice>
      <mc:Fallback>
        <oleObject progId="Prism10.Document" shapeId="25609" r:id="rId5"/>
      </mc:Fallback>
    </mc:AlternateContent>
    <mc:AlternateContent xmlns:mc="http://schemas.openxmlformats.org/markup-compatibility/2006">
      <mc:Choice Requires="x14">
        <oleObject progId="Prism10.Document" shapeId="25610" r:id="rId7">
          <objectPr defaultSize="0" r:id="rId8">
            <anchor moveWithCells="1">
              <from>
                <xdr:col>24</xdr:col>
                <xdr:colOff>25400</xdr:colOff>
                <xdr:row>46</xdr:row>
                <xdr:rowOff>44450</xdr:rowOff>
              </from>
              <to>
                <xdr:col>31</xdr:col>
                <xdr:colOff>463550</xdr:colOff>
                <xdr:row>61</xdr:row>
                <xdr:rowOff>0</xdr:rowOff>
              </to>
            </anchor>
          </objectPr>
        </oleObject>
      </mc:Choice>
      <mc:Fallback>
        <oleObject progId="Prism10.Document" shapeId="25610" r:id="rId7"/>
      </mc:Fallback>
    </mc:AlternateContent>
    <mc:AlternateContent xmlns:mc="http://schemas.openxmlformats.org/markup-compatibility/2006">
      <mc:Choice Requires="x14">
        <oleObject progId="Prism10.Document" shapeId="25611" r:id="rId9">
          <objectPr defaultSize="0" r:id="rId10">
            <anchor moveWithCells="1">
              <from>
                <xdr:col>24</xdr:col>
                <xdr:colOff>0</xdr:colOff>
                <xdr:row>69</xdr:row>
                <xdr:rowOff>0</xdr:rowOff>
              </from>
              <to>
                <xdr:col>31</xdr:col>
                <xdr:colOff>304800</xdr:colOff>
                <xdr:row>85</xdr:row>
                <xdr:rowOff>82550</xdr:rowOff>
              </to>
            </anchor>
          </objectPr>
        </oleObject>
      </mc:Choice>
      <mc:Fallback>
        <oleObject progId="Prism10.Document" shapeId="25611"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CE114-6A4C-45BC-9495-9D1343ABF01C}">
  <dimension ref="A1:S75"/>
  <sheetViews>
    <sheetView tabSelected="1" topLeftCell="B1" zoomScale="80" zoomScaleNormal="80" workbookViewId="0">
      <selection activeCell="J26" sqref="J26"/>
    </sheetView>
  </sheetViews>
  <sheetFormatPr defaultRowHeight="15.5" x14ac:dyDescent="0.35"/>
  <cols>
    <col min="1" max="1" width="14.6640625" style="53" customWidth="1"/>
    <col min="2" max="2" width="14.1640625" style="53" customWidth="1"/>
    <col min="3" max="3" width="14.08203125" style="53" customWidth="1"/>
    <col min="4" max="4" width="13.83203125" style="53" customWidth="1"/>
    <col min="5" max="5" width="12.9140625" style="53" customWidth="1"/>
    <col min="6" max="6" width="8.6640625" style="53"/>
    <col min="7" max="7" width="27.08203125" style="187" customWidth="1"/>
    <col min="8" max="8" width="11.75" style="187" customWidth="1"/>
    <col min="9" max="9" width="11.33203125" style="187" customWidth="1"/>
    <col min="10" max="10" width="10.58203125" style="187" customWidth="1"/>
    <col min="11" max="13" width="10.83203125" style="187" customWidth="1"/>
    <col min="14" max="14" width="17.83203125" style="53" customWidth="1"/>
    <col min="15" max="15" width="27.1640625" style="187" customWidth="1"/>
    <col min="16" max="16" width="8.6640625" style="187"/>
    <col min="17" max="17" width="10.83203125" style="187" customWidth="1"/>
    <col min="18" max="18" width="11.58203125" style="187" customWidth="1"/>
    <col min="19" max="19" width="8.6640625" style="187"/>
    <col min="20" max="21" width="8.6640625" style="53"/>
    <col min="22" max="22" width="9.33203125" style="53" customWidth="1"/>
    <col min="23" max="16384" width="8.6640625" style="53"/>
  </cols>
  <sheetData>
    <row r="1" spans="1:19" ht="24" x14ac:dyDescent="0.6">
      <c r="A1" s="221" t="s">
        <v>580</v>
      </c>
    </row>
    <row r="2" spans="1:19" x14ac:dyDescent="0.35">
      <c r="A2" s="578" t="s">
        <v>513</v>
      </c>
      <c r="B2" s="579"/>
      <c r="C2" s="579"/>
      <c r="D2" s="579"/>
      <c r="E2" s="580"/>
      <c r="G2" s="217" t="s">
        <v>575</v>
      </c>
      <c r="H2" s="208" t="s">
        <v>477</v>
      </c>
      <c r="I2" s="208" t="s">
        <v>478</v>
      </c>
      <c r="J2" s="208" t="s">
        <v>479</v>
      </c>
      <c r="K2" s="208" t="s">
        <v>480</v>
      </c>
      <c r="L2" s="449"/>
      <c r="M2" s="449"/>
    </row>
    <row r="3" spans="1:19" x14ac:dyDescent="0.35">
      <c r="A3" s="184" t="s">
        <v>468</v>
      </c>
      <c r="B3" s="207" t="s">
        <v>469</v>
      </c>
      <c r="C3" s="207" t="s">
        <v>470</v>
      </c>
      <c r="D3" s="207" t="s">
        <v>471</v>
      </c>
      <c r="E3" s="207" t="s">
        <v>472</v>
      </c>
      <c r="G3" s="208" t="s">
        <v>506</v>
      </c>
      <c r="H3" s="208">
        <v>1.4125000000000001</v>
      </c>
      <c r="I3" s="208">
        <v>2.8687499999999999</v>
      </c>
      <c r="J3" s="208">
        <v>1.575</v>
      </c>
      <c r="K3" s="208">
        <v>8.6312499999999996</v>
      </c>
      <c r="L3" s="449"/>
      <c r="M3" s="449"/>
    </row>
    <row r="4" spans="1:19" x14ac:dyDescent="0.35">
      <c r="A4" s="184" t="s">
        <v>477</v>
      </c>
      <c r="B4" s="208">
        <v>0.73225510226799995</v>
      </c>
      <c r="C4" s="208">
        <v>0.14200210686252299</v>
      </c>
      <c r="D4" s="208">
        <v>14.020405</v>
      </c>
      <c r="E4" s="208">
        <v>36</v>
      </c>
      <c r="G4" s="208" t="s">
        <v>507</v>
      </c>
      <c r="H4" s="208">
        <v>7.8312499999999998</v>
      </c>
      <c r="I4" s="208">
        <v>18.03125</v>
      </c>
      <c r="J4" s="208">
        <v>39.387500000000003</v>
      </c>
      <c r="K4" s="208">
        <v>47.206249999999997</v>
      </c>
      <c r="L4" s="449"/>
      <c r="M4" s="449"/>
    </row>
    <row r="5" spans="1:19" x14ac:dyDescent="0.35">
      <c r="A5" s="184" t="s">
        <v>478</v>
      </c>
      <c r="B5" s="208">
        <v>1.1424167641</v>
      </c>
      <c r="C5" s="208">
        <v>0.23622451794244001</v>
      </c>
      <c r="D5" s="208">
        <v>16.505475000000001</v>
      </c>
      <c r="E5" s="208">
        <v>47</v>
      </c>
      <c r="G5" s="208" t="s">
        <v>508</v>
      </c>
      <c r="H5" s="208">
        <v>0.18124999999999999</v>
      </c>
      <c r="I5" s="208">
        <v>10.9375</v>
      </c>
      <c r="J5" s="208">
        <v>0.15</v>
      </c>
      <c r="K5" s="208">
        <v>3.1062500000000002</v>
      </c>
      <c r="L5" s="449"/>
      <c r="M5" s="449"/>
    </row>
    <row r="6" spans="1:19" x14ac:dyDescent="0.35">
      <c r="A6" s="184" t="s">
        <v>479</v>
      </c>
      <c r="B6" s="208">
        <v>1.06582370573</v>
      </c>
      <c r="C6" s="208">
        <v>0.202878331689856</v>
      </c>
      <c r="D6" s="208">
        <v>13.073255</v>
      </c>
      <c r="E6" s="208">
        <v>41</v>
      </c>
      <c r="G6" s="208" t="s">
        <v>509</v>
      </c>
      <c r="H6" s="208">
        <v>0</v>
      </c>
      <c r="I6" s="208">
        <v>2.5000000000000001E-2</v>
      </c>
      <c r="J6" s="208">
        <v>0.80625000000000002</v>
      </c>
      <c r="K6" s="208">
        <v>3.0750000000000002</v>
      </c>
      <c r="L6" s="449"/>
      <c r="M6" s="449"/>
    </row>
    <row r="7" spans="1:19" x14ac:dyDescent="0.35">
      <c r="A7" s="184" t="s">
        <v>480</v>
      </c>
      <c r="B7" s="208">
        <v>3.0147301737199999</v>
      </c>
      <c r="C7" s="208">
        <v>0.472072430932162</v>
      </c>
      <c r="D7" s="208">
        <v>15.672694999999999</v>
      </c>
      <c r="E7" s="208">
        <v>69</v>
      </c>
      <c r="G7" s="208" t="s">
        <v>510</v>
      </c>
      <c r="H7" s="208">
        <v>1.8749999999999999E-2</v>
      </c>
      <c r="I7" s="208">
        <v>0.20624999999999999</v>
      </c>
      <c r="J7" s="208">
        <v>7.4999999999999997E-2</v>
      </c>
      <c r="K7" s="208">
        <v>0.86875000000000002</v>
      </c>
      <c r="L7" s="449"/>
      <c r="M7" s="449"/>
    </row>
    <row r="8" spans="1:19" x14ac:dyDescent="0.35">
      <c r="G8" s="208" t="s">
        <v>511</v>
      </c>
      <c r="H8" s="208">
        <v>90.0625</v>
      </c>
      <c r="I8" s="208">
        <v>65.862499999999997</v>
      </c>
      <c r="J8" s="208">
        <v>56.362499999999997</v>
      </c>
      <c r="K8" s="208">
        <v>31.193750000000001</v>
      </c>
      <c r="L8" s="449"/>
      <c r="M8" s="449"/>
    </row>
    <row r="9" spans="1:19" x14ac:dyDescent="0.35">
      <c r="A9" s="571" t="s">
        <v>514</v>
      </c>
      <c r="B9" s="571"/>
      <c r="C9" s="571"/>
      <c r="D9" s="571"/>
      <c r="E9" s="571"/>
      <c r="G9" s="208" t="s">
        <v>512</v>
      </c>
      <c r="H9" s="208">
        <v>0.33124999999999999</v>
      </c>
      <c r="I9" s="208">
        <v>1.9624999999999999</v>
      </c>
      <c r="J9" s="208">
        <v>1.53125</v>
      </c>
      <c r="K9" s="208">
        <v>5.7562499999999996</v>
      </c>
      <c r="L9" s="449"/>
      <c r="M9" s="449"/>
    </row>
    <row r="10" spans="1:19" x14ac:dyDescent="0.35">
      <c r="A10" s="205" t="s">
        <v>481</v>
      </c>
      <c r="B10" s="208"/>
      <c r="C10" s="208"/>
      <c r="D10" s="208"/>
      <c r="E10" s="208"/>
    </row>
    <row r="11" spans="1:19" x14ac:dyDescent="0.35">
      <c r="A11" s="205" t="s">
        <v>482</v>
      </c>
      <c r="B11" s="209"/>
      <c r="C11" s="210"/>
      <c r="D11" s="210"/>
      <c r="E11" s="211"/>
    </row>
    <row r="12" spans="1:19" x14ac:dyDescent="0.35">
      <c r="A12" s="572" t="s">
        <v>483</v>
      </c>
      <c r="B12" s="573"/>
      <c r="C12" s="573"/>
      <c r="D12" s="573"/>
      <c r="E12" s="574"/>
      <c r="G12" s="425" t="s">
        <v>574</v>
      </c>
      <c r="H12" s="208" t="s">
        <v>477</v>
      </c>
      <c r="I12" s="208" t="s">
        <v>478</v>
      </c>
      <c r="J12" s="208" t="s">
        <v>479</v>
      </c>
      <c r="K12" s="208" t="s">
        <v>480</v>
      </c>
      <c r="L12" s="208" t="s">
        <v>809</v>
      </c>
      <c r="M12" s="208" t="s">
        <v>810</v>
      </c>
      <c r="O12" s="217" t="s">
        <v>577</v>
      </c>
      <c r="P12" s="208" t="s">
        <v>547</v>
      </c>
      <c r="Q12" s="208" t="s">
        <v>478</v>
      </c>
      <c r="R12" s="208" t="s">
        <v>480</v>
      </c>
      <c r="S12" s="208" t="s">
        <v>548</v>
      </c>
    </row>
    <row r="13" spans="1:19" x14ac:dyDescent="0.35">
      <c r="A13" s="572" t="s">
        <v>484</v>
      </c>
      <c r="B13" s="573"/>
      <c r="C13" s="573"/>
      <c r="D13" s="573"/>
      <c r="E13" s="574"/>
      <c r="G13" s="216" t="s">
        <v>528</v>
      </c>
      <c r="H13" s="208">
        <v>3.7499999999999999E-2</v>
      </c>
      <c r="I13" s="208">
        <v>0.4</v>
      </c>
      <c r="J13" s="208">
        <v>0.10625</v>
      </c>
      <c r="K13" s="208">
        <v>2.84375</v>
      </c>
      <c r="L13" s="208"/>
      <c r="M13" s="208"/>
      <c r="O13" s="216" t="s">
        <v>528</v>
      </c>
      <c r="P13" s="208">
        <v>2.46E-2</v>
      </c>
      <c r="Q13" s="208">
        <v>0.4</v>
      </c>
      <c r="R13" s="208">
        <v>2.84</v>
      </c>
      <c r="S13" s="208">
        <v>-2.83</v>
      </c>
    </row>
    <row r="14" spans="1:19" x14ac:dyDescent="0.35">
      <c r="A14" s="572" t="s">
        <v>485</v>
      </c>
      <c r="B14" s="573"/>
      <c r="C14" s="573"/>
      <c r="D14" s="573"/>
      <c r="E14" s="574"/>
      <c r="G14" s="216" t="s">
        <v>529</v>
      </c>
      <c r="H14" s="208">
        <v>0</v>
      </c>
      <c r="I14" s="208">
        <v>0.15625</v>
      </c>
      <c r="J14" s="208">
        <v>0</v>
      </c>
      <c r="K14" s="208">
        <v>1.7</v>
      </c>
      <c r="L14" s="208"/>
      <c r="M14" s="208"/>
      <c r="O14" s="216" t="s">
        <v>532</v>
      </c>
      <c r="P14" s="208">
        <v>0</v>
      </c>
      <c r="Q14" s="208">
        <v>0.06</v>
      </c>
      <c r="R14" s="208">
        <v>22.91</v>
      </c>
      <c r="S14" s="208">
        <v>-8.67</v>
      </c>
    </row>
    <row r="15" spans="1:19" x14ac:dyDescent="0.35">
      <c r="A15" s="572" t="s">
        <v>486</v>
      </c>
      <c r="B15" s="573"/>
      <c r="C15" s="573"/>
      <c r="D15" s="573"/>
      <c r="E15" s="574"/>
      <c r="G15" s="216" t="s">
        <v>530</v>
      </c>
      <c r="H15" s="208">
        <v>0</v>
      </c>
      <c r="I15" s="208">
        <v>8.75</v>
      </c>
      <c r="J15" s="208">
        <v>6.2500000000000003E-3</v>
      </c>
      <c r="K15" s="208">
        <v>2.5000000000000001E-2</v>
      </c>
      <c r="L15" s="208"/>
      <c r="M15" s="208"/>
      <c r="O15" s="216" t="s">
        <v>533</v>
      </c>
      <c r="P15" s="208">
        <v>3.5200000000000002E-2</v>
      </c>
      <c r="Q15" s="208">
        <v>0</v>
      </c>
      <c r="R15" s="208">
        <v>3.08</v>
      </c>
      <c r="S15" s="208">
        <v>-18.23</v>
      </c>
    </row>
    <row r="16" spans="1:19" x14ac:dyDescent="0.35">
      <c r="A16" s="206" t="s">
        <v>487</v>
      </c>
      <c r="B16" s="208"/>
      <c r="C16" s="208"/>
      <c r="D16" s="208"/>
      <c r="E16" s="208"/>
      <c r="G16" s="216" t="s">
        <v>531</v>
      </c>
      <c r="H16" s="208">
        <v>6.8750000000000006E-2</v>
      </c>
      <c r="I16" s="208">
        <v>1.85625</v>
      </c>
      <c r="J16" s="208">
        <v>0.05</v>
      </c>
      <c r="K16" s="208">
        <v>3.28125</v>
      </c>
      <c r="L16" s="208"/>
      <c r="M16" s="208"/>
      <c r="O16" s="216" t="s">
        <v>549</v>
      </c>
      <c r="P16" s="208">
        <v>1.32E-2</v>
      </c>
      <c r="Q16" s="208">
        <v>0.01</v>
      </c>
      <c r="R16" s="208">
        <v>0.24</v>
      </c>
      <c r="S16" s="208">
        <v>-4.29</v>
      </c>
    </row>
    <row r="17" spans="1:19" x14ac:dyDescent="0.35">
      <c r="A17" s="572" t="s">
        <v>515</v>
      </c>
      <c r="B17" s="573"/>
      <c r="C17" s="573"/>
      <c r="D17" s="573"/>
      <c r="E17" s="574"/>
      <c r="G17" s="450" t="s">
        <v>532</v>
      </c>
      <c r="H17" s="451">
        <v>1.8749999999999999E-2</v>
      </c>
      <c r="I17" s="451">
        <v>5.6250000000000001E-2</v>
      </c>
      <c r="J17" s="451">
        <v>0.25624999999999998</v>
      </c>
      <c r="K17" s="451">
        <v>22.912500000000001</v>
      </c>
      <c r="L17" s="451"/>
      <c r="M17" s="452">
        <f>K17/J17</f>
        <v>89.41463414634147</v>
      </c>
      <c r="O17" s="216" t="s">
        <v>534</v>
      </c>
      <c r="P17" s="208">
        <v>4.8500000000000001E-2</v>
      </c>
      <c r="Q17" s="208">
        <v>0.21</v>
      </c>
      <c r="R17" s="208">
        <v>2.41</v>
      </c>
      <c r="S17" s="208">
        <v>-3.55</v>
      </c>
    </row>
    <row r="18" spans="1:19" x14ac:dyDescent="0.35">
      <c r="A18" s="572" t="s">
        <v>488</v>
      </c>
      <c r="B18" s="573"/>
      <c r="C18" s="573"/>
      <c r="D18" s="573"/>
      <c r="E18" s="574"/>
      <c r="G18" s="450" t="s">
        <v>533</v>
      </c>
      <c r="H18" s="451">
        <v>0</v>
      </c>
      <c r="I18" s="451">
        <v>0</v>
      </c>
      <c r="J18" s="451">
        <v>0</v>
      </c>
      <c r="K18" s="451">
        <v>2.8875000000000002</v>
      </c>
      <c r="L18" s="451"/>
      <c r="M18" s="451"/>
      <c r="O18" s="216" t="s">
        <v>538</v>
      </c>
      <c r="P18" s="208">
        <v>2.0000000000000001E-4</v>
      </c>
      <c r="Q18" s="208">
        <v>49.49</v>
      </c>
      <c r="R18" s="208">
        <v>4.42</v>
      </c>
      <c r="S18" s="208">
        <v>3.49</v>
      </c>
    </row>
    <row r="19" spans="1:19" x14ac:dyDescent="0.35">
      <c r="A19" s="572" t="s">
        <v>489</v>
      </c>
      <c r="B19" s="573"/>
      <c r="C19" s="573"/>
      <c r="D19" s="573"/>
      <c r="E19" s="574"/>
      <c r="G19" s="450" t="s">
        <v>534</v>
      </c>
      <c r="H19" s="451">
        <v>0.11874999999999999</v>
      </c>
      <c r="I19" s="451">
        <v>0.20624999999999999</v>
      </c>
      <c r="J19" s="451">
        <v>1.8749999999999999E-2</v>
      </c>
      <c r="K19" s="451">
        <v>2.4125000000000001</v>
      </c>
      <c r="L19" s="451"/>
      <c r="M19" s="451"/>
      <c r="O19" s="216" t="s">
        <v>550</v>
      </c>
      <c r="P19" s="208">
        <v>3.5799999999999998E-2</v>
      </c>
      <c r="Q19" s="208">
        <v>0.22</v>
      </c>
      <c r="R19" s="208">
        <v>0.05</v>
      </c>
      <c r="S19" s="208">
        <v>2.0099999999999998</v>
      </c>
    </row>
    <row r="20" spans="1:19" x14ac:dyDescent="0.35">
      <c r="A20" s="572" t="s">
        <v>490</v>
      </c>
      <c r="B20" s="573"/>
      <c r="C20" s="573"/>
      <c r="D20" s="573"/>
      <c r="E20" s="574"/>
      <c r="G20" s="450" t="s">
        <v>535</v>
      </c>
      <c r="H20" s="451">
        <v>0.64375000000000004</v>
      </c>
      <c r="I20" s="451">
        <v>1.075</v>
      </c>
      <c r="J20" s="451">
        <v>1.4437500000000001</v>
      </c>
      <c r="K20" s="451">
        <v>3.3250000000000002</v>
      </c>
      <c r="L20" s="451"/>
      <c r="M20" s="451"/>
      <c r="O20" s="216" t="s">
        <v>551</v>
      </c>
      <c r="P20" s="208">
        <v>2.86E-2</v>
      </c>
      <c r="Q20" s="208">
        <v>0.13</v>
      </c>
      <c r="R20" s="208">
        <v>1.01</v>
      </c>
      <c r="S20" s="208">
        <v>-2.94</v>
      </c>
    </row>
    <row r="21" spans="1:19" x14ac:dyDescent="0.35">
      <c r="A21" s="575" t="s">
        <v>491</v>
      </c>
      <c r="B21" s="576"/>
      <c r="C21" s="576"/>
      <c r="D21" s="576"/>
      <c r="E21" s="577"/>
      <c r="G21" s="450" t="s">
        <v>536</v>
      </c>
      <c r="H21" s="451">
        <v>2.8</v>
      </c>
      <c r="I21" s="451">
        <v>6.25E-2</v>
      </c>
      <c r="J21" s="451">
        <v>1.8</v>
      </c>
      <c r="K21" s="451">
        <v>2.5375000000000001</v>
      </c>
      <c r="L21" s="451"/>
      <c r="M21" s="451"/>
      <c r="O21" s="216" t="s">
        <v>552</v>
      </c>
      <c r="P21" s="208">
        <v>2.9000000000000001E-2</v>
      </c>
      <c r="Q21" s="208">
        <v>0</v>
      </c>
      <c r="R21" s="208">
        <v>0.5</v>
      </c>
      <c r="S21" s="208">
        <v>-15.61</v>
      </c>
    </row>
    <row r="22" spans="1:19" x14ac:dyDescent="0.35">
      <c r="A22" s="572" t="s">
        <v>483</v>
      </c>
      <c r="B22" s="573"/>
      <c r="C22" s="573"/>
      <c r="D22" s="573"/>
      <c r="E22" s="574"/>
      <c r="G22" s="450" t="s">
        <v>537</v>
      </c>
      <c r="H22" s="451">
        <v>3.3125</v>
      </c>
      <c r="I22" s="451">
        <v>2.0125000000000002</v>
      </c>
      <c r="J22" s="451">
        <v>0.14374999999999999</v>
      </c>
      <c r="K22" s="451">
        <v>1.3</v>
      </c>
      <c r="L22" s="451"/>
      <c r="M22" s="451"/>
      <c r="O22" s="216" t="s">
        <v>553</v>
      </c>
      <c r="P22" s="208">
        <v>3.0599999999999999E-2</v>
      </c>
      <c r="Q22" s="208">
        <v>0.39</v>
      </c>
      <c r="R22" s="208">
        <v>1.19</v>
      </c>
      <c r="S22" s="208">
        <v>-1.62</v>
      </c>
    </row>
    <row r="23" spans="1:19" x14ac:dyDescent="0.35">
      <c r="A23" s="572" t="s">
        <v>484</v>
      </c>
      <c r="B23" s="573"/>
      <c r="C23" s="573"/>
      <c r="D23" s="573"/>
      <c r="E23" s="574"/>
      <c r="G23" s="450" t="s">
        <v>538</v>
      </c>
      <c r="H23" s="451">
        <v>63.84375</v>
      </c>
      <c r="I23" s="451">
        <v>49.493749999999999</v>
      </c>
      <c r="J23" s="451">
        <v>40.112499999999997</v>
      </c>
      <c r="K23" s="451">
        <v>4.4187500000000002</v>
      </c>
      <c r="L23" s="453">
        <f>H23/I23</f>
        <v>1.2899355979290315</v>
      </c>
      <c r="M23" s="453">
        <f>J23/K23</f>
        <v>9.0777934936350775</v>
      </c>
      <c r="N23" s="347"/>
      <c r="O23" s="216" t="s">
        <v>554</v>
      </c>
      <c r="P23" s="208">
        <v>4.1000000000000002E-2</v>
      </c>
      <c r="Q23" s="208">
        <v>0.13</v>
      </c>
      <c r="R23" s="208">
        <v>0.39</v>
      </c>
      <c r="S23" s="208">
        <v>-1.61</v>
      </c>
    </row>
    <row r="24" spans="1:19" x14ac:dyDescent="0.35">
      <c r="A24" s="572" t="s">
        <v>485</v>
      </c>
      <c r="B24" s="573"/>
      <c r="C24" s="573"/>
      <c r="D24" s="573"/>
      <c r="E24" s="574"/>
      <c r="G24" s="450" t="s">
        <v>539</v>
      </c>
      <c r="H24" s="451">
        <v>0</v>
      </c>
      <c r="I24" s="451">
        <v>2.0499999999999998</v>
      </c>
      <c r="J24" s="451">
        <v>0</v>
      </c>
      <c r="K24" s="451">
        <v>0.10625</v>
      </c>
      <c r="L24" s="453"/>
      <c r="M24" s="453"/>
      <c r="N24" s="346"/>
    </row>
    <row r="25" spans="1:19" x14ac:dyDescent="0.35">
      <c r="A25" s="572" t="s">
        <v>486</v>
      </c>
      <c r="B25" s="573"/>
      <c r="C25" s="573"/>
      <c r="D25" s="573"/>
      <c r="E25" s="574"/>
      <c r="G25" s="450" t="s">
        <v>540</v>
      </c>
      <c r="H25" s="451">
        <v>0.89375000000000004</v>
      </c>
      <c r="I25" s="451">
        <v>0.76875000000000004</v>
      </c>
      <c r="J25" s="451">
        <v>3.125E-2</v>
      </c>
      <c r="K25" s="451">
        <v>2.6062500000000002</v>
      </c>
      <c r="L25" s="453"/>
      <c r="M25" s="453"/>
    </row>
    <row r="26" spans="1:19" x14ac:dyDescent="0.35">
      <c r="A26" s="572" t="s">
        <v>492</v>
      </c>
      <c r="B26" s="573"/>
      <c r="C26" s="573"/>
      <c r="D26" s="573"/>
      <c r="E26" s="574"/>
      <c r="G26" s="450" t="s">
        <v>541</v>
      </c>
      <c r="H26" s="451">
        <v>21.03125</v>
      </c>
      <c r="I26" s="451">
        <v>5.7687499999999998</v>
      </c>
      <c r="J26" s="451">
        <v>10.49375</v>
      </c>
      <c r="K26" s="451">
        <v>0.78749999999999998</v>
      </c>
      <c r="L26" s="453">
        <f>H26/I26</f>
        <v>3.6457204767063924</v>
      </c>
      <c r="M26" s="453">
        <f>J26/K26</f>
        <v>13.325396825396826</v>
      </c>
      <c r="N26" s="347"/>
    </row>
    <row r="27" spans="1:19" x14ac:dyDescent="0.35">
      <c r="A27" s="572" t="s">
        <v>515</v>
      </c>
      <c r="B27" s="573"/>
      <c r="C27" s="573"/>
      <c r="D27" s="573"/>
      <c r="E27" s="574"/>
      <c r="G27" s="450" t="s">
        <v>542</v>
      </c>
      <c r="H27" s="451">
        <v>6.2500000000000003E-3</v>
      </c>
      <c r="I27" s="451">
        <v>0.2</v>
      </c>
      <c r="J27" s="451">
        <v>7.4999999999999997E-2</v>
      </c>
      <c r="K27" s="451">
        <v>1.6625000000000001</v>
      </c>
      <c r="L27" s="451"/>
      <c r="M27" s="451"/>
      <c r="N27" s="346"/>
    </row>
    <row r="28" spans="1:19" x14ac:dyDescent="0.35">
      <c r="A28" s="572" t="s">
        <v>493</v>
      </c>
      <c r="B28" s="573"/>
      <c r="C28" s="573"/>
      <c r="D28" s="573"/>
      <c r="E28" s="574"/>
      <c r="G28" s="451" t="s">
        <v>510</v>
      </c>
      <c r="H28" s="451">
        <v>1.875</v>
      </c>
      <c r="I28" s="451">
        <v>7.4437499999999996</v>
      </c>
      <c r="J28" s="451">
        <v>1.15625</v>
      </c>
      <c r="K28" s="451">
        <v>25.168749999999999</v>
      </c>
      <c r="L28" s="451"/>
      <c r="M28" s="451"/>
      <c r="N28" s="346"/>
    </row>
    <row r="29" spans="1:19" x14ac:dyDescent="0.35">
      <c r="A29" s="572" t="s">
        <v>494</v>
      </c>
      <c r="B29" s="573"/>
      <c r="C29" s="573"/>
      <c r="D29" s="573"/>
      <c r="E29" s="574"/>
      <c r="G29" s="450" t="s">
        <v>543</v>
      </c>
      <c r="H29" s="451">
        <v>0</v>
      </c>
      <c r="I29" s="451">
        <v>2.5000000000000001E-2</v>
      </c>
      <c r="J29" s="451">
        <v>0.80625000000000002</v>
      </c>
      <c r="K29" s="451">
        <v>2.7062499999999998</v>
      </c>
      <c r="L29" s="451"/>
      <c r="M29" s="451"/>
    </row>
    <row r="30" spans="1:19" x14ac:dyDescent="0.35">
      <c r="A30" s="572" t="s">
        <v>495</v>
      </c>
      <c r="B30" s="573"/>
      <c r="C30" s="573"/>
      <c r="D30" s="573"/>
      <c r="E30" s="574"/>
      <c r="G30" s="450" t="s">
        <v>544</v>
      </c>
      <c r="H30" s="451">
        <v>6.2500000000000003E-3</v>
      </c>
      <c r="I30" s="451">
        <v>0.56874999999999998</v>
      </c>
      <c r="J30" s="451">
        <v>5.1375000000000002</v>
      </c>
      <c r="K30" s="451">
        <v>1.39375</v>
      </c>
      <c r="L30" s="451"/>
      <c r="M30" s="451"/>
    </row>
    <row r="31" spans="1:19" x14ac:dyDescent="0.35">
      <c r="A31" s="461" t="s">
        <v>496</v>
      </c>
      <c r="B31" s="463"/>
      <c r="C31" s="212" t="s">
        <v>497</v>
      </c>
      <c r="D31" s="212" t="s">
        <v>498</v>
      </c>
      <c r="E31" s="212" t="s">
        <v>499</v>
      </c>
      <c r="G31" s="450" t="s">
        <v>545</v>
      </c>
      <c r="H31" s="451">
        <v>1.8812500000000001</v>
      </c>
      <c r="I31" s="451">
        <v>0.9</v>
      </c>
      <c r="J31" s="451">
        <v>1.85</v>
      </c>
      <c r="K31" s="451">
        <v>0.76249999999999996</v>
      </c>
      <c r="L31" s="451"/>
      <c r="M31" s="451"/>
    </row>
    <row r="32" spans="1:19" x14ac:dyDescent="0.35">
      <c r="A32" s="212" t="s">
        <v>500</v>
      </c>
      <c r="B32" s="212" t="s">
        <v>501</v>
      </c>
      <c r="C32" s="212"/>
      <c r="D32" s="212"/>
      <c r="E32" s="212"/>
      <c r="G32" s="450" t="s">
        <v>546</v>
      </c>
      <c r="H32" s="451">
        <v>2.96875</v>
      </c>
      <c r="I32" s="451">
        <v>16.137499999999999</v>
      </c>
      <c r="J32" s="451">
        <v>34.868749999999999</v>
      </c>
      <c r="K32" s="451">
        <v>11.074999999999999</v>
      </c>
      <c r="L32" s="452">
        <f>I32/H32</f>
        <v>5.4357894736842107</v>
      </c>
      <c r="M32" s="453">
        <f>J32/K32</f>
        <v>3.1484198645598194</v>
      </c>
      <c r="N32" s="347"/>
    </row>
    <row r="33" spans="1:19" x14ac:dyDescent="0.35">
      <c r="A33" s="570" t="s">
        <v>502</v>
      </c>
      <c r="B33" s="213" t="s">
        <v>503</v>
      </c>
      <c r="C33" s="214">
        <v>1000</v>
      </c>
      <c r="D33" s="214">
        <v>1.8959999999999999</v>
      </c>
      <c r="E33" s="214">
        <v>8.0920000000000006E-2</v>
      </c>
      <c r="G33" s="53"/>
      <c r="N33" s="346"/>
      <c r="O33" s="53"/>
      <c r="P33" s="53"/>
      <c r="Q33" s="53"/>
      <c r="R33" s="53"/>
      <c r="S33" s="53"/>
    </row>
    <row r="34" spans="1:19" x14ac:dyDescent="0.35">
      <c r="A34" s="570"/>
      <c r="B34" s="213" t="s">
        <v>504</v>
      </c>
      <c r="C34" s="214">
        <v>1000</v>
      </c>
      <c r="D34" s="214">
        <v>3.0813000000000001</v>
      </c>
      <c r="E34" s="214">
        <v>1.6979999999999999E-2</v>
      </c>
    </row>
    <row r="35" spans="1:19" x14ac:dyDescent="0.35">
      <c r="A35" s="570"/>
      <c r="B35" s="213" t="s">
        <v>505</v>
      </c>
      <c r="C35" s="214">
        <v>1000</v>
      </c>
      <c r="D35" s="214">
        <v>7.3998999999999997</v>
      </c>
      <c r="E35" s="214">
        <v>9.990000000000001E-4</v>
      </c>
      <c r="G35" s="53"/>
    </row>
    <row r="36" spans="1:19" x14ac:dyDescent="0.35">
      <c r="A36" s="570" t="s">
        <v>503</v>
      </c>
      <c r="B36" s="213" t="s">
        <v>504</v>
      </c>
      <c r="C36" s="214">
        <v>1000</v>
      </c>
      <c r="D36" s="214">
        <v>1.3795999999999999</v>
      </c>
      <c r="E36" s="214">
        <v>0.20979999999999999</v>
      </c>
      <c r="G36" s="217" t="s">
        <v>576</v>
      </c>
      <c r="H36" s="208" t="s">
        <v>477</v>
      </c>
      <c r="I36" s="208" t="s">
        <v>478</v>
      </c>
      <c r="J36" s="208" t="s">
        <v>479</v>
      </c>
      <c r="K36" s="208" t="s">
        <v>480</v>
      </c>
      <c r="L36" s="449"/>
      <c r="M36" s="449"/>
      <c r="O36" s="215" t="s">
        <v>578</v>
      </c>
      <c r="P36" s="214" t="s">
        <v>547</v>
      </c>
      <c r="Q36" s="214" t="s">
        <v>473</v>
      </c>
      <c r="R36" s="214" t="s">
        <v>474</v>
      </c>
      <c r="S36" s="214" t="s">
        <v>548</v>
      </c>
    </row>
    <row r="37" spans="1:19" x14ac:dyDescent="0.35">
      <c r="A37" s="570"/>
      <c r="B37" s="213" t="s">
        <v>505</v>
      </c>
      <c r="C37" s="214">
        <v>1000</v>
      </c>
      <c r="D37" s="214">
        <v>4.5757000000000003</v>
      </c>
      <c r="E37" s="214">
        <v>9.990000000000001E-4</v>
      </c>
      <c r="G37" s="216" t="s">
        <v>516</v>
      </c>
      <c r="H37" s="208">
        <v>3.7499999999999999E-2</v>
      </c>
      <c r="I37" s="208">
        <v>0.4</v>
      </c>
      <c r="J37" s="208">
        <v>0.10625</v>
      </c>
      <c r="K37" s="208">
        <v>2.8374999999999999</v>
      </c>
      <c r="L37" s="449"/>
      <c r="M37" s="449"/>
      <c r="O37" s="218" t="s">
        <v>557</v>
      </c>
      <c r="P37" s="214">
        <v>3.5799999999999998E-2</v>
      </c>
      <c r="Q37" s="214">
        <v>0</v>
      </c>
      <c r="R37" s="214">
        <v>0.16</v>
      </c>
      <c r="S37" s="214">
        <v>-13.93</v>
      </c>
    </row>
    <row r="38" spans="1:19" x14ac:dyDescent="0.35">
      <c r="A38" s="213" t="s">
        <v>504</v>
      </c>
      <c r="B38" s="213" t="s">
        <v>505</v>
      </c>
      <c r="C38" s="214">
        <v>1000</v>
      </c>
      <c r="D38" s="214">
        <v>5.3005000000000004</v>
      </c>
      <c r="E38" s="214">
        <v>9.990000000000001E-4</v>
      </c>
      <c r="G38" s="216" t="s">
        <v>517</v>
      </c>
      <c r="H38" s="208">
        <v>0</v>
      </c>
      <c r="I38" s="208">
        <v>8.75</v>
      </c>
      <c r="J38" s="208">
        <v>6.2500000000000003E-3</v>
      </c>
      <c r="K38" s="208">
        <v>2.5000000000000001E-2</v>
      </c>
      <c r="L38" s="449"/>
      <c r="M38" s="449"/>
      <c r="O38" s="218" t="s">
        <v>558</v>
      </c>
      <c r="P38" s="214">
        <v>8.9999999999999998E-4</v>
      </c>
      <c r="Q38" s="214">
        <v>7.0000000000000007E-2</v>
      </c>
      <c r="R38" s="214">
        <v>0.8</v>
      </c>
      <c r="S38" s="214">
        <v>-3.54</v>
      </c>
    </row>
    <row r="39" spans="1:19" x14ac:dyDescent="0.35">
      <c r="G39" s="216" t="s">
        <v>518</v>
      </c>
      <c r="H39" s="208">
        <v>1.8749999999999999E-2</v>
      </c>
      <c r="I39" s="208">
        <v>0</v>
      </c>
      <c r="J39" s="208">
        <v>0.25</v>
      </c>
      <c r="K39" s="208">
        <v>11.06875</v>
      </c>
      <c r="L39" s="449"/>
      <c r="M39" s="449"/>
      <c r="O39" s="218" t="s">
        <v>559</v>
      </c>
      <c r="P39" s="214">
        <v>1.2200000000000001E-2</v>
      </c>
      <c r="Q39" s="214">
        <v>0.01</v>
      </c>
      <c r="R39" s="214">
        <v>0.14000000000000001</v>
      </c>
      <c r="S39" s="214">
        <v>-4.46</v>
      </c>
    </row>
    <row r="40" spans="1:19" x14ac:dyDescent="0.35">
      <c r="G40" s="216" t="s">
        <v>519</v>
      </c>
      <c r="H40" s="208">
        <v>0</v>
      </c>
      <c r="I40" s="208">
        <v>4.3749999999999997E-2</v>
      </c>
      <c r="J40" s="208">
        <v>0</v>
      </c>
      <c r="K40" s="208">
        <v>6.6437499999999998</v>
      </c>
      <c r="L40" s="449"/>
      <c r="M40" s="449"/>
      <c r="O40" s="218" t="s">
        <v>560</v>
      </c>
      <c r="P40" s="214">
        <v>4.6899999999999997E-2</v>
      </c>
      <c r="Q40" s="214">
        <v>0.03</v>
      </c>
      <c r="R40" s="214">
        <v>0.1</v>
      </c>
      <c r="S40" s="214">
        <v>-2</v>
      </c>
    </row>
    <row r="41" spans="1:19" ht="15" customHeight="1" x14ac:dyDescent="0.35">
      <c r="G41" s="216" t="s">
        <v>520</v>
      </c>
      <c r="H41" s="208">
        <v>0</v>
      </c>
      <c r="I41" s="208">
        <v>0</v>
      </c>
      <c r="J41" s="208">
        <v>0</v>
      </c>
      <c r="K41" s="208">
        <v>3.2687499999999998</v>
      </c>
      <c r="L41" s="449"/>
      <c r="M41" s="449"/>
      <c r="O41" s="218" t="s">
        <v>527</v>
      </c>
      <c r="P41" s="214">
        <v>1.24E-2</v>
      </c>
      <c r="Q41" s="214">
        <v>0.04</v>
      </c>
      <c r="R41" s="214">
        <v>2.4300000000000002</v>
      </c>
      <c r="S41" s="214">
        <v>-6.01</v>
      </c>
    </row>
    <row r="42" spans="1:19" x14ac:dyDescent="0.35">
      <c r="G42" s="216" t="s">
        <v>521</v>
      </c>
      <c r="H42" s="208">
        <v>2.8</v>
      </c>
      <c r="I42" s="208">
        <v>6.25E-2</v>
      </c>
      <c r="J42" s="208">
        <v>1.8</v>
      </c>
      <c r="K42" s="208">
        <v>2.5375000000000001</v>
      </c>
      <c r="L42" s="449"/>
      <c r="M42" s="449"/>
      <c r="O42" s="218" t="s">
        <v>512</v>
      </c>
      <c r="P42" s="214">
        <v>1.0500000000000001E-2</v>
      </c>
      <c r="Q42" s="214">
        <v>0.33</v>
      </c>
      <c r="R42" s="214">
        <v>1.96</v>
      </c>
      <c r="S42" s="214">
        <v>-2.57</v>
      </c>
    </row>
    <row r="43" spans="1:19" x14ac:dyDescent="0.35">
      <c r="G43" s="216" t="s">
        <v>522</v>
      </c>
      <c r="H43" s="208">
        <v>3.3125</v>
      </c>
      <c r="I43" s="208">
        <v>2.0125000000000002</v>
      </c>
      <c r="J43" s="208">
        <v>0.14374999999999999</v>
      </c>
      <c r="K43" s="208">
        <v>1.3</v>
      </c>
      <c r="L43" s="449"/>
      <c r="M43" s="449"/>
      <c r="O43" s="218" t="s">
        <v>561</v>
      </c>
      <c r="P43" s="214">
        <v>2.12E-2</v>
      </c>
      <c r="Q43" s="214">
        <v>0.04</v>
      </c>
      <c r="R43" s="214">
        <v>0.27</v>
      </c>
      <c r="S43" s="214">
        <v>-2.84</v>
      </c>
    </row>
    <row r="44" spans="1:19" x14ac:dyDescent="0.35">
      <c r="G44" s="216" t="s">
        <v>441</v>
      </c>
      <c r="H44" s="208">
        <v>63.8125</v>
      </c>
      <c r="I44" s="208">
        <v>49.493749999999999</v>
      </c>
      <c r="J44" s="208">
        <v>40.081249999999997</v>
      </c>
      <c r="K44" s="208">
        <v>4.4124999999999996</v>
      </c>
      <c r="L44" s="449"/>
      <c r="M44" s="449"/>
    </row>
    <row r="45" spans="1:19" x14ac:dyDescent="0.35">
      <c r="G45" s="216" t="s">
        <v>523</v>
      </c>
      <c r="H45" s="208">
        <v>0.89375000000000004</v>
      </c>
      <c r="I45" s="208">
        <v>0.76875000000000004</v>
      </c>
      <c r="J45" s="208">
        <v>3.125E-2</v>
      </c>
      <c r="K45" s="208">
        <v>2.6062500000000002</v>
      </c>
      <c r="L45" s="449"/>
      <c r="M45" s="449"/>
      <c r="O45" s="215" t="s">
        <v>578</v>
      </c>
      <c r="P45" s="214" t="s">
        <v>547</v>
      </c>
      <c r="Q45" s="214" t="s">
        <v>475</v>
      </c>
      <c r="R45" s="214" t="s">
        <v>476</v>
      </c>
      <c r="S45" s="214" t="s">
        <v>548</v>
      </c>
    </row>
    <row r="46" spans="1:19" x14ac:dyDescent="0.35">
      <c r="G46" s="216" t="s">
        <v>524</v>
      </c>
      <c r="H46" s="208">
        <v>20.943750000000001</v>
      </c>
      <c r="I46" s="208">
        <v>5.3312499999999998</v>
      </c>
      <c r="J46" s="208">
        <v>10.4625</v>
      </c>
      <c r="K46" s="208">
        <v>0.47499999999999998</v>
      </c>
      <c r="L46" s="449"/>
      <c r="M46" s="449"/>
      <c r="O46" s="218" t="s">
        <v>562</v>
      </c>
      <c r="P46" s="214">
        <v>3.0599999999999999E-2</v>
      </c>
      <c r="Q46" s="214">
        <v>0.01</v>
      </c>
      <c r="R46" s="214">
        <v>0.28000000000000003</v>
      </c>
      <c r="S46" s="214">
        <v>-4.49</v>
      </c>
    </row>
    <row r="47" spans="1:19" x14ac:dyDescent="0.35">
      <c r="G47" s="208" t="s">
        <v>510</v>
      </c>
      <c r="H47" s="208">
        <v>4.7062499999999998</v>
      </c>
      <c r="I47" s="208">
        <v>14.356249999999999</v>
      </c>
      <c r="J47" s="208">
        <v>4.71875</v>
      </c>
      <c r="K47" s="208">
        <v>46.337499999999999</v>
      </c>
      <c r="L47" s="449"/>
      <c r="M47" s="449"/>
      <c r="O47" s="218" t="s">
        <v>563</v>
      </c>
      <c r="P47" s="214">
        <v>1.0800000000000001E-2</v>
      </c>
      <c r="Q47" s="214">
        <v>0</v>
      </c>
      <c r="R47" s="214">
        <v>0.08</v>
      </c>
      <c r="S47" s="214">
        <v>-13.04</v>
      </c>
    </row>
    <row r="48" spans="1:19" x14ac:dyDescent="0.35">
      <c r="G48" s="216" t="s">
        <v>525</v>
      </c>
      <c r="H48" s="208">
        <v>0</v>
      </c>
      <c r="I48" s="208">
        <v>2.5000000000000001E-2</v>
      </c>
      <c r="J48" s="208">
        <v>0.80625000000000002</v>
      </c>
      <c r="K48" s="208">
        <v>2.7062499999999998</v>
      </c>
      <c r="L48" s="449"/>
      <c r="M48" s="449"/>
      <c r="O48" s="218" t="s">
        <v>557</v>
      </c>
      <c r="P48" s="214">
        <v>3.5900000000000001E-2</v>
      </c>
      <c r="Q48" s="214">
        <v>0</v>
      </c>
      <c r="R48" s="214">
        <v>1.7</v>
      </c>
      <c r="S48" s="214">
        <v>-17.38</v>
      </c>
    </row>
    <row r="49" spans="7:19" x14ac:dyDescent="0.35">
      <c r="G49" s="216" t="s">
        <v>526</v>
      </c>
      <c r="H49" s="208">
        <v>6.2500000000000003E-3</v>
      </c>
      <c r="I49" s="208">
        <v>0.55000000000000004</v>
      </c>
      <c r="J49" s="208">
        <v>5.1187500000000004</v>
      </c>
      <c r="K49" s="208">
        <v>1.1875</v>
      </c>
      <c r="L49" s="449"/>
      <c r="M49" s="449"/>
      <c r="O49" s="218" t="s">
        <v>558</v>
      </c>
      <c r="P49" s="214">
        <v>0</v>
      </c>
      <c r="Q49" s="214">
        <v>0.05</v>
      </c>
      <c r="R49" s="214">
        <v>1.73</v>
      </c>
      <c r="S49" s="214">
        <v>-5.1100000000000003</v>
      </c>
    </row>
    <row r="50" spans="7:19" x14ac:dyDescent="0.35">
      <c r="G50" s="216" t="s">
        <v>442</v>
      </c>
      <c r="H50" s="208">
        <v>2.9375</v>
      </c>
      <c r="I50" s="208">
        <v>13.7</v>
      </c>
      <c r="J50" s="208">
        <v>34.637500000000003</v>
      </c>
      <c r="K50" s="208">
        <v>2.2062499999999998</v>
      </c>
      <c r="L50" s="449"/>
      <c r="M50" s="449"/>
      <c r="O50" s="218" t="s">
        <v>518</v>
      </c>
      <c r="P50" s="214">
        <v>8.9999999999999998E-4</v>
      </c>
      <c r="Q50" s="214">
        <v>0.25</v>
      </c>
      <c r="R50" s="214">
        <v>11.07</v>
      </c>
      <c r="S50" s="214">
        <v>-5.47</v>
      </c>
    </row>
    <row r="51" spans="7:19" x14ac:dyDescent="0.35">
      <c r="G51" s="216" t="s">
        <v>527</v>
      </c>
      <c r="H51" s="208">
        <v>3.7499999999999999E-2</v>
      </c>
      <c r="I51" s="208">
        <v>2.4249999999999998</v>
      </c>
      <c r="J51" s="208">
        <v>0.15</v>
      </c>
      <c r="K51" s="208">
        <v>6.46875</v>
      </c>
      <c r="L51" s="449"/>
      <c r="M51" s="449"/>
      <c r="O51" s="218" t="s">
        <v>519</v>
      </c>
      <c r="P51" s="214">
        <v>3.5900000000000001E-2</v>
      </c>
      <c r="Q51" s="214">
        <v>0</v>
      </c>
      <c r="R51" s="214">
        <v>6.64</v>
      </c>
      <c r="S51" s="214">
        <v>-19.34</v>
      </c>
    </row>
    <row r="52" spans="7:19" x14ac:dyDescent="0.35">
      <c r="G52" s="216" t="s">
        <v>512</v>
      </c>
      <c r="H52" s="208">
        <v>0.33124999999999999</v>
      </c>
      <c r="I52" s="208">
        <v>1.9624999999999999</v>
      </c>
      <c r="J52" s="208">
        <v>1.53125</v>
      </c>
      <c r="K52" s="208">
        <v>5.7562499999999996</v>
      </c>
      <c r="L52" s="449"/>
      <c r="M52" s="449"/>
      <c r="O52" s="218" t="s">
        <v>520</v>
      </c>
      <c r="P52" s="214">
        <v>3.5900000000000001E-2</v>
      </c>
      <c r="Q52" s="214">
        <v>0</v>
      </c>
      <c r="R52" s="214">
        <v>3.27</v>
      </c>
      <c r="S52" s="214">
        <v>-18.32</v>
      </c>
    </row>
    <row r="53" spans="7:19" x14ac:dyDescent="0.35">
      <c r="O53" s="218" t="s">
        <v>564</v>
      </c>
      <c r="P53" s="214">
        <v>4.0599999999999997E-2</v>
      </c>
      <c r="Q53" s="214">
        <v>0</v>
      </c>
      <c r="R53" s="214">
        <v>0.09</v>
      </c>
      <c r="S53" s="214">
        <v>-13.19</v>
      </c>
    </row>
    <row r="54" spans="7:19" x14ac:dyDescent="0.35">
      <c r="O54" s="218" t="s">
        <v>565</v>
      </c>
      <c r="P54" s="214">
        <v>3.5799999999999998E-2</v>
      </c>
      <c r="Q54" s="214">
        <v>0</v>
      </c>
      <c r="R54" s="214">
        <v>0.09</v>
      </c>
      <c r="S54" s="214">
        <v>-13.1</v>
      </c>
    </row>
    <row r="55" spans="7:19" x14ac:dyDescent="0.35">
      <c r="O55" s="218" t="s">
        <v>566</v>
      </c>
      <c r="P55" s="214">
        <v>2.1000000000000001E-2</v>
      </c>
      <c r="Q55" s="214">
        <v>0</v>
      </c>
      <c r="R55" s="214">
        <v>0.15</v>
      </c>
      <c r="S55" s="214">
        <v>-13.9</v>
      </c>
    </row>
    <row r="56" spans="7:19" x14ac:dyDescent="0.35">
      <c r="O56" s="218" t="s">
        <v>555</v>
      </c>
      <c r="P56" s="214">
        <v>3.5000000000000001E-3</v>
      </c>
      <c r="Q56" s="214">
        <v>0</v>
      </c>
      <c r="R56" s="214">
        <v>0.24</v>
      </c>
      <c r="S56" s="214">
        <v>-14.57</v>
      </c>
    </row>
    <row r="57" spans="7:19" x14ac:dyDescent="0.35">
      <c r="O57" s="218" t="s">
        <v>567</v>
      </c>
      <c r="P57" s="214">
        <v>2.1000000000000001E-2</v>
      </c>
      <c r="Q57" s="214">
        <v>0</v>
      </c>
      <c r="R57" s="214">
        <v>0.11</v>
      </c>
      <c r="S57" s="214">
        <v>-13.42</v>
      </c>
    </row>
    <row r="58" spans="7:19" x14ac:dyDescent="0.35">
      <c r="O58" s="218" t="s">
        <v>568</v>
      </c>
      <c r="P58" s="214">
        <v>2.1000000000000001E-2</v>
      </c>
      <c r="Q58" s="214">
        <v>0</v>
      </c>
      <c r="R58" s="214">
        <v>0.23</v>
      </c>
      <c r="S58" s="214">
        <v>-14.48</v>
      </c>
    </row>
    <row r="59" spans="7:19" x14ac:dyDescent="0.35">
      <c r="O59" s="218" t="s">
        <v>569</v>
      </c>
      <c r="P59" s="214">
        <v>7.9000000000000008E-3</v>
      </c>
      <c r="Q59" s="214">
        <v>0</v>
      </c>
      <c r="R59" s="214">
        <v>0.19</v>
      </c>
      <c r="S59" s="214">
        <v>-14.19</v>
      </c>
    </row>
    <row r="60" spans="7:19" x14ac:dyDescent="0.35">
      <c r="O60" s="218" t="s">
        <v>441</v>
      </c>
      <c r="P60" s="214">
        <v>3.2899999999999999E-2</v>
      </c>
      <c r="Q60" s="214">
        <v>20.04</v>
      </c>
      <c r="R60" s="214">
        <v>2.21</v>
      </c>
      <c r="S60" s="214">
        <v>3.18</v>
      </c>
    </row>
    <row r="61" spans="7:19" x14ac:dyDescent="0.35">
      <c r="O61" s="218" t="s">
        <v>570</v>
      </c>
      <c r="P61" s="214">
        <v>3.5799999999999998E-2</v>
      </c>
      <c r="Q61" s="214">
        <v>0</v>
      </c>
      <c r="R61" s="214">
        <v>0.16</v>
      </c>
      <c r="S61" s="214">
        <v>-13.93</v>
      </c>
    </row>
    <row r="62" spans="7:19" x14ac:dyDescent="0.35">
      <c r="O62" s="218" t="s">
        <v>524</v>
      </c>
      <c r="P62" s="214">
        <v>4.4699999999999997E-2</v>
      </c>
      <c r="Q62" s="214">
        <v>5.23</v>
      </c>
      <c r="R62" s="214">
        <v>0.24</v>
      </c>
      <c r="S62" s="214">
        <v>4.46</v>
      </c>
    </row>
    <row r="63" spans="7:19" x14ac:dyDescent="0.35">
      <c r="O63" s="218" t="s">
        <v>571</v>
      </c>
      <c r="P63" s="214">
        <v>3.4599999999999999E-2</v>
      </c>
      <c r="Q63" s="214">
        <v>0.03</v>
      </c>
      <c r="R63" s="214">
        <v>0.84</v>
      </c>
      <c r="S63" s="214">
        <v>-5.08</v>
      </c>
    </row>
    <row r="64" spans="7:19" x14ac:dyDescent="0.35">
      <c r="O64" s="218" t="s">
        <v>572</v>
      </c>
      <c r="P64" s="214">
        <v>0</v>
      </c>
      <c r="Q64" s="214">
        <v>0.01</v>
      </c>
      <c r="R64" s="214">
        <v>1.04</v>
      </c>
      <c r="S64" s="214">
        <v>-7.38</v>
      </c>
    </row>
    <row r="65" spans="15:19" x14ac:dyDescent="0.35">
      <c r="O65" s="218" t="s">
        <v>556</v>
      </c>
      <c r="P65" s="214">
        <v>3.5900000000000001E-2</v>
      </c>
      <c r="Q65" s="214">
        <v>0</v>
      </c>
      <c r="R65" s="214">
        <v>0.22</v>
      </c>
      <c r="S65" s="214">
        <v>-14.46</v>
      </c>
    </row>
    <row r="66" spans="15:19" x14ac:dyDescent="0.35">
      <c r="O66" s="218" t="s">
        <v>442</v>
      </c>
      <c r="P66" s="214">
        <v>6.7000000000000002E-3</v>
      </c>
      <c r="Q66" s="214">
        <v>34.64</v>
      </c>
      <c r="R66" s="214">
        <v>2.21</v>
      </c>
      <c r="S66" s="214">
        <v>3.97</v>
      </c>
    </row>
    <row r="67" spans="15:19" x14ac:dyDescent="0.35">
      <c r="O67" s="218" t="s">
        <v>573</v>
      </c>
      <c r="P67" s="214">
        <v>3.5799999999999998E-2</v>
      </c>
      <c r="Q67" s="214">
        <v>0</v>
      </c>
      <c r="R67" s="214">
        <v>1.1399999999999999</v>
      </c>
      <c r="S67" s="214">
        <v>-16.8</v>
      </c>
    </row>
    <row r="68" spans="15:19" x14ac:dyDescent="0.35">
      <c r="O68" s="218" t="s">
        <v>512</v>
      </c>
      <c r="P68" s="214">
        <v>4.0000000000000001E-3</v>
      </c>
      <c r="Q68" s="214">
        <v>1.53</v>
      </c>
      <c r="R68" s="214">
        <v>5.76</v>
      </c>
      <c r="S68" s="214">
        <v>-1.91</v>
      </c>
    </row>
    <row r="70" spans="15:19" x14ac:dyDescent="0.35">
      <c r="O70" s="217" t="s">
        <v>578</v>
      </c>
      <c r="P70" s="214" t="s">
        <v>547</v>
      </c>
      <c r="Q70" s="208" t="s">
        <v>478</v>
      </c>
      <c r="R70" s="208" t="s">
        <v>480</v>
      </c>
      <c r="S70" s="214" t="s">
        <v>548</v>
      </c>
    </row>
    <row r="71" spans="15:19" x14ac:dyDescent="0.35">
      <c r="O71" s="218" t="s">
        <v>518</v>
      </c>
      <c r="P71" s="214">
        <v>1E-4</v>
      </c>
      <c r="Q71" s="214">
        <v>0</v>
      </c>
      <c r="R71" s="214">
        <v>11.07</v>
      </c>
      <c r="S71" s="214">
        <v>-20.079999999999998</v>
      </c>
    </row>
    <row r="72" spans="15:19" x14ac:dyDescent="0.35">
      <c r="O72" s="218" t="s">
        <v>520</v>
      </c>
      <c r="P72" s="214">
        <v>3.5900000000000001E-2</v>
      </c>
      <c r="Q72" s="214">
        <v>0</v>
      </c>
      <c r="R72" s="214">
        <v>3.27</v>
      </c>
      <c r="S72" s="214">
        <v>-18.32</v>
      </c>
    </row>
    <row r="73" spans="15:19" x14ac:dyDescent="0.35">
      <c r="O73" s="218" t="s">
        <v>555</v>
      </c>
      <c r="P73" s="214">
        <v>1.32E-2</v>
      </c>
      <c r="Q73" s="214">
        <v>0.01</v>
      </c>
      <c r="R73" s="214">
        <v>0.24</v>
      </c>
      <c r="S73" s="214">
        <v>-4.29</v>
      </c>
    </row>
    <row r="74" spans="15:19" x14ac:dyDescent="0.35">
      <c r="O74" s="218" t="s">
        <v>441</v>
      </c>
      <c r="P74" s="214">
        <v>8.5000000000000006E-3</v>
      </c>
      <c r="Q74" s="214">
        <v>49.49</v>
      </c>
      <c r="R74" s="214">
        <v>4.41</v>
      </c>
      <c r="S74" s="214">
        <v>3.49</v>
      </c>
    </row>
    <row r="75" spans="15:19" x14ac:dyDescent="0.35">
      <c r="O75" s="218" t="s">
        <v>556</v>
      </c>
      <c r="P75" s="214">
        <v>3.5900000000000001E-2</v>
      </c>
      <c r="Q75" s="214">
        <v>0</v>
      </c>
      <c r="R75" s="214">
        <v>0.22</v>
      </c>
      <c r="S75" s="214">
        <v>-14.46</v>
      </c>
    </row>
  </sheetData>
  <mergeCells count="23">
    <mergeCell ref="A29:E29"/>
    <mergeCell ref="A30:E30"/>
    <mergeCell ref="A2:E2"/>
    <mergeCell ref="A15:E15"/>
    <mergeCell ref="A17:E17"/>
    <mergeCell ref="A18:E18"/>
    <mergeCell ref="A19:E19"/>
    <mergeCell ref="A33:A35"/>
    <mergeCell ref="A36:A37"/>
    <mergeCell ref="A9:E9"/>
    <mergeCell ref="A12:E12"/>
    <mergeCell ref="A13:E13"/>
    <mergeCell ref="A14:E14"/>
    <mergeCell ref="A24:E24"/>
    <mergeCell ref="A23:E23"/>
    <mergeCell ref="A22:E22"/>
    <mergeCell ref="A21:E21"/>
    <mergeCell ref="A20:E20"/>
    <mergeCell ref="A31:B31"/>
    <mergeCell ref="A25:E25"/>
    <mergeCell ref="A26:E26"/>
    <mergeCell ref="A27:E27"/>
    <mergeCell ref="A28:E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Table 1</vt:lpstr>
      <vt:lpstr>Table 2 </vt:lpstr>
      <vt:lpstr>Table 3 &amp; Fig. 2</vt:lpstr>
      <vt:lpstr>Fig 2. Clinical analyzed</vt:lpstr>
      <vt:lpstr>Fig 3. RSV &amp; co-bacterial</vt:lpstr>
      <vt:lpstr>Fig 3. RSV &amp; bacterial analyzed</vt:lpstr>
      <vt:lpstr>Fig. 4 Cytokine </vt:lpstr>
      <vt:lpstr>Fig 4. Cytokine analyzed</vt:lpstr>
      <vt:lpstr>Fig. 5 &amp; analyzed</vt:lpstr>
      <vt:lpstr>'Fig. 5 &amp; analyzed'!rstudio_console_output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Bui Thi Huyen</cp:lastModifiedBy>
  <cp:lastPrinted>2024-05-09T09:38:34Z</cp:lastPrinted>
  <dcterms:created xsi:type="dcterms:W3CDTF">2021-02-04T05:31:12Z</dcterms:created>
  <dcterms:modified xsi:type="dcterms:W3CDTF">2025-06-13T03:14:13Z</dcterms:modified>
</cp:coreProperties>
</file>